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31" windowWidth="10725" windowHeight="8955" activeTab="0"/>
  </bookViews>
  <sheets>
    <sheet name="CLASSIFICA" sheetId="1" r:id="rId1"/>
  </sheets>
  <externalReferences>
    <externalReference r:id="rId4"/>
  </externalReferences>
  <definedNames>
    <definedName name="_xlnm.Print_Area" localSheetId="0">'CLASSIFICA'!$A$1:$AE$41</definedName>
  </definedNames>
  <calcPr fullCalcOnLoad="1"/>
</workbook>
</file>

<file path=xl/sharedStrings.xml><?xml version="1.0" encoding="utf-8"?>
<sst xmlns="http://schemas.openxmlformats.org/spreadsheetml/2006/main" count="1127" uniqueCount="501">
  <si>
    <t>SQUADRA</t>
  </si>
  <si>
    <t>P</t>
  </si>
  <si>
    <t>TOTALE</t>
  </si>
  <si>
    <t>CASA</t>
  </si>
  <si>
    <t>FUORI</t>
  </si>
  <si>
    <t>FANTARETI</t>
  </si>
  <si>
    <t>EFFE</t>
  </si>
  <si>
    <t>RIGORI</t>
  </si>
  <si>
    <t>MPAG</t>
  </si>
  <si>
    <t>MTS</t>
  </si>
  <si>
    <t>TS</t>
  </si>
  <si>
    <t xml:space="preserve">TOT </t>
  </si>
  <si>
    <t>TS+</t>
  </si>
  <si>
    <t>TS-</t>
  </si>
  <si>
    <t>GIOCA</t>
  </si>
  <si>
    <t>pag+</t>
  </si>
  <si>
    <t>pag-</t>
  </si>
  <si>
    <t>TS +</t>
  </si>
  <si>
    <t>TS -</t>
  </si>
  <si>
    <t>TOT</t>
  </si>
  <si>
    <t>TTIVE</t>
  </si>
  <si>
    <t>FAV.</t>
  </si>
  <si>
    <t>CON.</t>
  </si>
  <si>
    <t>PAR</t>
  </si>
  <si>
    <t>PASSIVA</t>
  </si>
  <si>
    <t>PAG.LE</t>
  </si>
  <si>
    <t>TORI</t>
  </si>
  <si>
    <t xml:space="preserve">   SEMPRE</t>
  </si>
  <si>
    <t>G</t>
  </si>
  <si>
    <t>V</t>
  </si>
  <si>
    <t>N</t>
  </si>
  <si>
    <t>F</t>
  </si>
  <si>
    <t>S</t>
  </si>
  <si>
    <t>T</t>
  </si>
  <si>
    <t>R</t>
  </si>
  <si>
    <t>ATI</t>
  </si>
  <si>
    <t>BIWI BIWI</t>
  </si>
  <si>
    <t>DOPING</t>
  </si>
  <si>
    <t>HAJDUK</t>
  </si>
  <si>
    <t>HIGHLENDL</t>
  </si>
  <si>
    <t>JAM</t>
  </si>
  <si>
    <t>LOKOMOTIV</t>
  </si>
  <si>
    <t>STICKERS</t>
  </si>
  <si>
    <t>TOTALI</t>
  </si>
  <si>
    <t xml:space="preserve"> </t>
  </si>
  <si>
    <t>CROCIATA ANT.</t>
  </si>
  <si>
    <t>CAD</t>
  </si>
  <si>
    <t>CLASSIFICHE STAGIONALI</t>
  </si>
  <si>
    <t>SERIE APERTE</t>
  </si>
  <si>
    <t>VOTI = o +</t>
  </si>
  <si>
    <t>VOTI INF.</t>
  </si>
  <si>
    <t>PRESENZE</t>
  </si>
  <si>
    <t>ASSENTI</t>
  </si>
  <si>
    <t>AMMONIZIONI</t>
  </si>
  <si>
    <t>ESPULSIONI</t>
  </si>
  <si>
    <t>AUTORETI</t>
  </si>
  <si>
    <t>di 8</t>
  </si>
  <si>
    <t>A   5</t>
  </si>
  <si>
    <t>FAVORE</t>
  </si>
  <si>
    <t xml:space="preserve">STICKERS  </t>
  </si>
  <si>
    <t xml:space="preserve">BIWI BIWI  </t>
  </si>
  <si>
    <t>CONTRO</t>
  </si>
  <si>
    <t>SCONFITTE</t>
  </si>
  <si>
    <t>VITTORIE</t>
  </si>
  <si>
    <t>VITTORIE TOT.</t>
  </si>
  <si>
    <t xml:space="preserve">     PARI TOT.</t>
  </si>
  <si>
    <t>(min. assol. finale: 18,89%; max 35,82%)</t>
  </si>
  <si>
    <t>attacco</t>
  </si>
  <si>
    <t>(max assol. finale: 71,04%; min 52,64%)</t>
  </si>
  <si>
    <t>MAX</t>
  </si>
  <si>
    <t xml:space="preserve">     MAX</t>
  </si>
  <si>
    <t>MIN</t>
  </si>
  <si>
    <t xml:space="preserve">     MIN</t>
  </si>
  <si>
    <t>16,96</t>
  </si>
  <si>
    <t>CENTENARI</t>
  </si>
  <si>
    <t>I PIU' TITOLATI</t>
  </si>
  <si>
    <t>5 Titoli:</t>
  </si>
  <si>
    <t>Scudetti vinti</t>
  </si>
  <si>
    <t>CHB vinte</t>
  </si>
  <si>
    <t>Vincitori di tutti i titoli</t>
  </si>
  <si>
    <t>Retrocessi</t>
  </si>
  <si>
    <t>5 volte:</t>
  </si>
  <si>
    <t xml:space="preserve">4 volte:      </t>
  </si>
  <si>
    <t>Desailly,Bergomi,Moriero,</t>
  </si>
  <si>
    <t>200 presenze</t>
  </si>
  <si>
    <t>dMALDINI</t>
  </si>
  <si>
    <t>pPAGLIUCA</t>
  </si>
  <si>
    <t>aBATISTUTA</t>
  </si>
  <si>
    <t>aSIGNORI</t>
  </si>
  <si>
    <t>dFERRARA</t>
  </si>
  <si>
    <t>cFUSER</t>
  </si>
  <si>
    <t>100 presenze</t>
  </si>
  <si>
    <t>150 presenze</t>
  </si>
  <si>
    <t>pPERUZZI</t>
  </si>
  <si>
    <t xml:space="preserve">cBAGGIO D. </t>
  </si>
  <si>
    <t>cRUI COSTA</t>
  </si>
  <si>
    <t>cMANCINI Roberto</t>
  </si>
  <si>
    <t>cR.BAGGIO</t>
  </si>
  <si>
    <t>dMIHAJLOVIC</t>
  </si>
  <si>
    <t>pMARCHEGIANI</t>
  </si>
  <si>
    <t>dTHURAM</t>
  </si>
  <si>
    <t>dVIERCHOWOD</t>
  </si>
  <si>
    <t>aDEL PIERO</t>
  </si>
  <si>
    <t>pROSSI</t>
  </si>
  <si>
    <t>dNEGRO</t>
  </si>
  <si>
    <t>aCHIESA</t>
  </si>
  <si>
    <t>pTOLDO</t>
  </si>
  <si>
    <t>dCOSTACURTA</t>
  </si>
  <si>
    <t>dCANDELA</t>
  </si>
  <si>
    <t>aINZAGHI F.</t>
  </si>
  <si>
    <t>aOLIVEIRA</t>
  </si>
  <si>
    <t>dFAVALLI</t>
  </si>
  <si>
    <t>cTOTTI</t>
  </si>
  <si>
    <t>dALDAIR</t>
  </si>
  <si>
    <t>cPECCHIA</t>
  </si>
  <si>
    <t>aBIERHOFF</t>
  </si>
  <si>
    <t>aCRESPO</t>
  </si>
  <si>
    <t>aBALBO</t>
  </si>
  <si>
    <t>cALBERTINI</t>
  </si>
  <si>
    <t>dBARESI</t>
  </si>
  <si>
    <t>cDI BIAGIO</t>
  </si>
  <si>
    <t>cZIDANE</t>
  </si>
  <si>
    <t>dCARRERA</t>
  </si>
  <si>
    <t>dNESTA</t>
  </si>
  <si>
    <t>dPADALINO</t>
  </si>
  <si>
    <t>dPANCARO</t>
  </si>
  <si>
    <t xml:space="preserve">dBENARRIVO </t>
  </si>
  <si>
    <t>cNEDVED</t>
  </si>
  <si>
    <t>aZOLA</t>
  </si>
  <si>
    <t>aMONTELLA</t>
  </si>
  <si>
    <t>dMINOTTI</t>
  </si>
  <si>
    <t>dPANUCCI</t>
  </si>
  <si>
    <t>cVERON</t>
  </si>
  <si>
    <t>dAPOLLONI</t>
  </si>
  <si>
    <t>dFIRICANO</t>
  </si>
  <si>
    <t>cZANETTI J.</t>
  </si>
  <si>
    <t>dCALORI</t>
  </si>
  <si>
    <t>dCAFU'</t>
  </si>
  <si>
    <t xml:space="preserve">dBIA </t>
  </si>
  <si>
    <t>aGANZ</t>
  </si>
  <si>
    <t>cWINTER</t>
  </si>
  <si>
    <t>dDI CHIARA</t>
  </si>
  <si>
    <t>dTORRICELLI</t>
  </si>
  <si>
    <t>aDEL VECCHIO</t>
  </si>
  <si>
    <t>cBOBAN</t>
  </si>
  <si>
    <t>cJUGOVIC</t>
  </si>
  <si>
    <t>dMONTERO</t>
  </si>
  <si>
    <t>100 reti</t>
  </si>
  <si>
    <t>50 reti</t>
  </si>
  <si>
    <t>aVIERI</t>
  </si>
  <si>
    <t>aSHEVCHENKO</t>
  </si>
  <si>
    <t>Mancini R., Benarrivo, Muzzi</t>
  </si>
  <si>
    <t>Fuser, Cappellini, Balleri, Costacurta,Corini</t>
  </si>
  <si>
    <t>Cannavaro, Cozza</t>
  </si>
  <si>
    <t>ZANETTI J.</t>
  </si>
  <si>
    <t>dCANNAVARO</t>
  </si>
  <si>
    <t xml:space="preserve">pBUFFON </t>
  </si>
  <si>
    <t>dZE' MARIA</t>
  </si>
  <si>
    <t>pANTONIOLI</t>
  </si>
  <si>
    <t>aMUZZI</t>
  </si>
  <si>
    <t>aHUBNER</t>
  </si>
  <si>
    <r>
      <t xml:space="preserve">3: </t>
    </r>
    <r>
      <rPr>
        <b/>
        <sz val="10"/>
        <rFont val="Arial"/>
        <family val="2"/>
      </rPr>
      <t>Peruzzi, Mihajlovic,</t>
    </r>
    <r>
      <rPr>
        <sz val="10"/>
        <rFont val="Arial"/>
        <family val="2"/>
      </rPr>
      <t xml:space="preserve"> Cervone, Firicano, Baggio R.</t>
    </r>
  </si>
  <si>
    <r>
      <t>3: Costacurta,</t>
    </r>
    <r>
      <rPr>
        <sz val="10"/>
        <rFont val="Arial"/>
        <family val="2"/>
      </rPr>
      <t>Nedved,Ferrara,Corini,Cozza</t>
    </r>
  </si>
  <si>
    <r>
      <t xml:space="preserve">5: </t>
    </r>
    <r>
      <rPr>
        <sz val="10"/>
        <rFont val="Arial"/>
        <family val="2"/>
      </rPr>
      <t xml:space="preserve">Peruzzi, </t>
    </r>
    <r>
      <rPr>
        <b/>
        <sz val="10"/>
        <rFont val="Arial"/>
        <family val="2"/>
      </rPr>
      <t>Baggio R.</t>
    </r>
  </si>
  <si>
    <r>
      <t xml:space="preserve">4: </t>
    </r>
    <r>
      <rPr>
        <b/>
        <sz val="10"/>
        <rFont val="Arial"/>
        <family val="2"/>
      </rPr>
      <t>Signori</t>
    </r>
  </si>
  <si>
    <r>
      <t xml:space="preserve">Pecchia, </t>
    </r>
    <r>
      <rPr>
        <b/>
        <sz val="9"/>
        <rFont val="Arial"/>
        <family val="2"/>
      </rPr>
      <t>Favalli, Bertotto, Chiesa</t>
    </r>
  </si>
  <si>
    <r>
      <t>Rampulla, Taibi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Benarrivo, </t>
    </r>
    <r>
      <rPr>
        <b/>
        <sz val="10"/>
        <rFont val="Arial"/>
        <family val="2"/>
      </rPr>
      <t>Ferrara</t>
    </r>
  </si>
  <si>
    <r>
      <t>Con 11 Titoli</t>
    </r>
    <r>
      <rPr>
        <sz val="10"/>
        <rFont val="Arial"/>
        <family val="0"/>
      </rPr>
      <t xml:space="preserve">: </t>
    </r>
    <r>
      <rPr>
        <b/>
        <sz val="10"/>
        <rFont val="Arial"/>
        <family val="2"/>
      </rPr>
      <t xml:space="preserve">Peruzzi </t>
    </r>
  </si>
  <si>
    <r>
      <t>Con 10 Titoli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R. Baggio</t>
    </r>
  </si>
  <si>
    <r>
      <t>Con 7 Titoli</t>
    </r>
    <r>
      <rPr>
        <sz val="10"/>
        <rFont val="Arial"/>
        <family val="0"/>
      </rPr>
      <t xml:space="preserve">: </t>
    </r>
    <r>
      <rPr>
        <b/>
        <sz val="10"/>
        <rFont val="Arial"/>
        <family val="2"/>
      </rPr>
      <t>Mihajlovic</t>
    </r>
  </si>
  <si>
    <r>
      <t>Con 6 Titoli</t>
    </r>
    <r>
      <rPr>
        <sz val="10"/>
        <rFont val="Arial"/>
        <family val="0"/>
      </rPr>
      <t xml:space="preserve">: Firicano, </t>
    </r>
    <r>
      <rPr>
        <b/>
        <sz val="10"/>
        <rFont val="Arial"/>
        <family val="2"/>
      </rPr>
      <t>Signori</t>
    </r>
  </si>
  <si>
    <r>
      <t>Padalino</t>
    </r>
    <r>
      <rPr>
        <sz val="10"/>
        <rFont val="Arial"/>
        <family val="0"/>
      </rPr>
      <t>,Paganin M.,Peruzzi,Ronaldo,</t>
    </r>
    <r>
      <rPr>
        <b/>
        <sz val="10"/>
        <rFont val="Arial"/>
        <family val="2"/>
      </rPr>
      <t>Di Loreto,</t>
    </r>
  </si>
  <si>
    <r>
      <t>Baggio R.,Balleri,Benarrivo,Cappellini,Cyprien,</t>
    </r>
    <r>
      <rPr>
        <b/>
        <sz val="10"/>
        <rFont val="Arial"/>
        <family val="2"/>
      </rPr>
      <t>Materazzi,</t>
    </r>
  </si>
  <si>
    <r>
      <t>Firicano,Fuser,Kolyvanov,Mihajlovic,Nesta,</t>
    </r>
    <r>
      <rPr>
        <b/>
        <sz val="10"/>
        <rFont val="Arial"/>
        <family val="2"/>
      </rPr>
      <t>Stankovic,</t>
    </r>
  </si>
  <si>
    <r>
      <t>Simone,Stroppa,</t>
    </r>
    <r>
      <rPr>
        <sz val="10"/>
        <rFont val="Arial"/>
        <family val="2"/>
      </rPr>
      <t xml:space="preserve">Candela,Cannavaro, Jorgensen, </t>
    </r>
    <r>
      <rPr>
        <b/>
        <sz val="10"/>
        <rFont val="Arial"/>
        <family val="2"/>
      </rPr>
      <t>Sheva</t>
    </r>
  </si>
  <si>
    <t>MANCINI</t>
  </si>
  <si>
    <t>JORGENSEN</t>
  </si>
  <si>
    <t>EMERSON</t>
  </si>
  <si>
    <t>DIDA</t>
  </si>
  <si>
    <t>DIANA</t>
  </si>
  <si>
    <t>FLO</t>
  </si>
  <si>
    <t>TOTTI</t>
  </si>
  <si>
    <t>2003-2004</t>
  </si>
  <si>
    <r>
      <t>max 53,57; min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37,50</t>
    </r>
  </si>
  <si>
    <r>
      <t xml:space="preserve">max </t>
    </r>
    <r>
      <rPr>
        <b/>
        <sz val="8"/>
        <color indexed="12"/>
        <rFont val="Arial"/>
        <family val="2"/>
      </rPr>
      <t>43,75</t>
    </r>
    <r>
      <rPr>
        <sz val="8"/>
        <rFont val="Arial"/>
        <family val="2"/>
      </rPr>
      <t>; min 22,32</t>
    </r>
  </si>
  <si>
    <t>caR.BAGGIO</t>
  </si>
  <si>
    <t>cJORGENSEN</t>
  </si>
  <si>
    <t>cFIORE</t>
  </si>
  <si>
    <t>dSENSINI</t>
  </si>
  <si>
    <t>LOKOMOT.</t>
  </si>
  <si>
    <t>lokomotiv</t>
  </si>
  <si>
    <t>doping</t>
  </si>
  <si>
    <t>jam</t>
  </si>
  <si>
    <t>hajduk</t>
  </si>
  <si>
    <t>biwi biwi</t>
  </si>
  <si>
    <t>highlendl</t>
  </si>
  <si>
    <t>MIHAJLOVIC</t>
  </si>
  <si>
    <t>Serventi</t>
  </si>
  <si>
    <t>HUBNER</t>
  </si>
  <si>
    <t xml:space="preserve">DOPING                   </t>
  </si>
  <si>
    <t xml:space="preserve">JAM        </t>
  </si>
  <si>
    <t>Stevezzoli</t>
  </si>
  <si>
    <t>BALESTRI</t>
  </si>
  <si>
    <t xml:space="preserve">LOKOMOTIV            </t>
  </si>
  <si>
    <t>Gallerani</t>
  </si>
  <si>
    <t xml:space="preserve">HIGHLENDL              </t>
  </si>
  <si>
    <t>Bernardi</t>
  </si>
  <si>
    <t>LEGROTTAGLIE</t>
  </si>
  <si>
    <t xml:space="preserve">HAJDUK                   </t>
  </si>
  <si>
    <t>Schiroli</t>
  </si>
  <si>
    <t>CORDOBA</t>
  </si>
  <si>
    <t xml:space="preserve">CAD                 </t>
  </si>
  <si>
    <t xml:space="preserve">BIWI BIWI                </t>
  </si>
  <si>
    <t xml:space="preserve">STICKERS                </t>
  </si>
  <si>
    <t xml:space="preserve">JAM                         </t>
  </si>
  <si>
    <t>percentuali:</t>
  </si>
  <si>
    <t>difesa</t>
  </si>
  <si>
    <t>DISTRIBUZIONE PUNTI NEI 4 GIRONI</t>
  </si>
  <si>
    <t>PERCENTUALE VITTORIE -SCONFITTE-PAREGGI</t>
  </si>
  <si>
    <t>(min. assol. finale: 8,49%; max: 12,53%)</t>
  </si>
  <si>
    <t>centrocampo</t>
  </si>
  <si>
    <t>PRES.CONSEC.</t>
  </si>
  <si>
    <t>(85,5; 56,5)</t>
  </si>
  <si>
    <t>(57)</t>
  </si>
  <si>
    <t>(56,5)</t>
  </si>
  <si>
    <t>(59)</t>
  </si>
  <si>
    <t>GILARDINO</t>
  </si>
  <si>
    <t>STOVINI</t>
  </si>
  <si>
    <t>JANKULOVSKI</t>
  </si>
  <si>
    <t>ZE' MARIA</t>
  </si>
  <si>
    <t>COZZA</t>
  </si>
  <si>
    <t>RETI SUBITE PORTIERI</t>
  </si>
  <si>
    <t>centrocamp.</t>
  </si>
  <si>
    <t>attaccanti</t>
  </si>
  <si>
    <t>individuali</t>
  </si>
  <si>
    <t>squadre</t>
  </si>
  <si>
    <t>GIORNATE IN</t>
  </si>
  <si>
    <t>TS 80 o +</t>
  </si>
  <si>
    <t>VOTI = o + 8</t>
  </si>
  <si>
    <t xml:space="preserve">VOTI  </t>
  </si>
  <si>
    <t>TESTA</t>
  </si>
  <si>
    <t>INF. A 5</t>
  </si>
  <si>
    <t>CLASSIFICHE</t>
  </si>
  <si>
    <t>DI</t>
  </si>
  <si>
    <t>SEMPRE</t>
  </si>
  <si>
    <t xml:space="preserve">  i più prolifici</t>
  </si>
  <si>
    <t xml:space="preserve">DISCIPLINA </t>
  </si>
  <si>
    <t>PREMIO</t>
  </si>
  <si>
    <t>BATISTUTA</t>
  </si>
  <si>
    <t>(Stic 14 \ Stic 39,5)</t>
  </si>
  <si>
    <t>OSLO'</t>
  </si>
  <si>
    <t>Highlendl</t>
  </si>
  <si>
    <t>Signori</t>
  </si>
  <si>
    <t>stickers</t>
  </si>
  <si>
    <t>TS INF. A 60</t>
  </si>
  <si>
    <t xml:space="preserve">barbacini  </t>
  </si>
  <si>
    <t>SENZA VITT. (25 dop 93)</t>
  </si>
  <si>
    <t xml:space="preserve">  i più presenti</t>
  </si>
  <si>
    <t xml:space="preserve">Maggior TS </t>
  </si>
  <si>
    <t xml:space="preserve">   50^ PRESENZA</t>
  </si>
  <si>
    <t>CAD, Doping, Jam,</t>
  </si>
  <si>
    <t>stevezzoli</t>
  </si>
  <si>
    <t>MALDINI</t>
  </si>
  <si>
    <t>Hajduk</t>
  </si>
  <si>
    <t>(100,5 haj 92\3)</t>
  </si>
  <si>
    <t>Hajduk, Stick</t>
  </si>
  <si>
    <t xml:space="preserve">gallerani  </t>
  </si>
  <si>
    <t>Pagliuca</t>
  </si>
  <si>
    <t>Lokomotiv</t>
  </si>
  <si>
    <t>JAM            86,5</t>
  </si>
  <si>
    <t xml:space="preserve">   100^ RETE</t>
  </si>
  <si>
    <t xml:space="preserve">bernardi  </t>
  </si>
  <si>
    <t>RETI CONS. (33 hig 96)</t>
  </si>
  <si>
    <t>Jam</t>
  </si>
  <si>
    <t xml:space="preserve"> presenze consecutive</t>
  </si>
  <si>
    <t xml:space="preserve">   250^ PRESENZA </t>
  </si>
  <si>
    <t>PAREGGI</t>
  </si>
  <si>
    <t>EFFETTIVE</t>
  </si>
  <si>
    <t xml:space="preserve">serventi   </t>
  </si>
  <si>
    <t>(effettive)</t>
  </si>
  <si>
    <t xml:space="preserve"> (Zanetti J. 71)</t>
  </si>
  <si>
    <t xml:space="preserve">Minor TS </t>
  </si>
  <si>
    <t xml:space="preserve">   100^ PRESENZA</t>
  </si>
  <si>
    <t>FATTE</t>
  </si>
  <si>
    <t>SUBITE</t>
  </si>
  <si>
    <t xml:space="preserve">schiroli     </t>
  </si>
  <si>
    <t>(55 Lokomotiv)</t>
  </si>
  <si>
    <t xml:space="preserve">  200^ PRESENZA</t>
  </si>
  <si>
    <t xml:space="preserve">calestani  </t>
  </si>
  <si>
    <t>CAD            57,5</t>
  </si>
  <si>
    <t xml:space="preserve">   150^ PRESENZA</t>
  </si>
  <si>
    <t xml:space="preserve">lurisi        </t>
  </si>
  <si>
    <t xml:space="preserve">   50^ RETE</t>
  </si>
  <si>
    <t>CURIOSITA'</t>
  </si>
  <si>
    <t xml:space="preserve">   150^ CAPITANO</t>
  </si>
  <si>
    <t xml:space="preserve">Miglior T.PAG. </t>
  </si>
  <si>
    <t>(75,0 Highlendl)</t>
  </si>
  <si>
    <t xml:space="preserve">   1° GOL IN FHB</t>
  </si>
  <si>
    <t>CAD, BIWI      73</t>
  </si>
  <si>
    <t xml:space="preserve">Pegg. T.PAG. </t>
  </si>
  <si>
    <t>(60 mc,lok,haj,jam)</t>
  </si>
  <si>
    <t>ATP</t>
  </si>
  <si>
    <t>PUNTI</t>
  </si>
  <si>
    <t xml:space="preserve">GOL </t>
  </si>
  <si>
    <t>PERCENTUALE</t>
  </si>
  <si>
    <t>MPAG.</t>
  </si>
  <si>
    <t>SPRECATI</t>
  </si>
  <si>
    <t>GOL SPRECATI</t>
  </si>
  <si>
    <t>CLASSIFICA DI SEMPRE</t>
  </si>
  <si>
    <t>SERIE RECORD</t>
  </si>
  <si>
    <t>CONTROGOL</t>
  </si>
  <si>
    <t xml:space="preserve"> GOL CHB</t>
  </si>
  <si>
    <t>PRESENZE CHB</t>
  </si>
  <si>
    <t>TRIPLETTE</t>
  </si>
  <si>
    <t>RETI</t>
  </si>
  <si>
    <t>TS - 66</t>
  </si>
  <si>
    <t>DISCIPLINA</t>
  </si>
  <si>
    <t>PRES.CONS.</t>
  </si>
  <si>
    <t>(bestie nere)</t>
  </si>
  <si>
    <t>O PIU'</t>
  </si>
  <si>
    <t>SIGNORI  (dop)</t>
  </si>
  <si>
    <t>SIGNORI</t>
  </si>
  <si>
    <t xml:space="preserve">SIGNORI </t>
  </si>
  <si>
    <t>TOT PAG</t>
  </si>
  <si>
    <t>GIOCAT</t>
  </si>
  <si>
    <t>BATIST.(ha)</t>
  </si>
  <si>
    <t>PAGLIUCA</t>
  </si>
  <si>
    <t xml:space="preserve">SIGNORI  </t>
  </si>
  <si>
    <t xml:space="preserve">FUO. </t>
  </si>
  <si>
    <t>SHEVA</t>
  </si>
  <si>
    <t>SIGNORI (c)</t>
  </si>
  <si>
    <t>BAGGIO R.</t>
  </si>
  <si>
    <t xml:space="preserve">BAGGIO R.  </t>
  </si>
  <si>
    <t xml:space="preserve">MINOTTI  </t>
  </si>
  <si>
    <t>BATIST.(hi)</t>
  </si>
  <si>
    <t>TOLDO</t>
  </si>
  <si>
    <t>CRESPO</t>
  </si>
  <si>
    <t>VIERI</t>
  </si>
  <si>
    <t>THURAM</t>
  </si>
  <si>
    <t>BATIST.(lk)</t>
  </si>
  <si>
    <t>DEL PIERO</t>
  </si>
  <si>
    <t>MONTELLA</t>
  </si>
  <si>
    <t>FERRARA</t>
  </si>
  <si>
    <t>INZAGHI F.</t>
  </si>
  <si>
    <t>FIORE</t>
  </si>
  <si>
    <t>SIGNORI(jm)</t>
  </si>
  <si>
    <t>TREZEGUET</t>
  </si>
  <si>
    <t>PERUZZI</t>
  </si>
  <si>
    <t>INZAGHI</t>
  </si>
  <si>
    <t>CANNAVARO</t>
  </si>
  <si>
    <t>BATIST.(bb)</t>
  </si>
  <si>
    <t xml:space="preserve">V.BASTEN  </t>
  </si>
  <si>
    <t xml:space="preserve">CHIESA </t>
  </si>
  <si>
    <t>*serie aperta</t>
  </si>
  <si>
    <t>MONTEL.(st)</t>
  </si>
  <si>
    <t>VIERI, TOTTI</t>
  </si>
  <si>
    <t>CROCIATI</t>
  </si>
  <si>
    <t>CONTRO/</t>
  </si>
  <si>
    <t>RIGORI FAV.</t>
  </si>
  <si>
    <t>RIGORI CONTRO</t>
  </si>
  <si>
    <t>NO FIVE</t>
  </si>
  <si>
    <t>TRIPLETTE O PIU' RETI</t>
  </si>
  <si>
    <t>FAVORE/realiz.</t>
  </si>
  <si>
    <t>realizzati</t>
  </si>
  <si>
    <t>PARATI</t>
  </si>
  <si>
    <t>SBAGLIATI</t>
  </si>
  <si>
    <t>135\100</t>
  </si>
  <si>
    <t>118\83</t>
  </si>
  <si>
    <t>128\93</t>
  </si>
  <si>
    <t>118\86</t>
  </si>
  <si>
    <t>controllo</t>
  </si>
  <si>
    <t>117\91</t>
  </si>
  <si>
    <t>101\83</t>
  </si>
  <si>
    <t>114\92</t>
  </si>
  <si>
    <t>100\70</t>
  </si>
  <si>
    <t>103\71</t>
  </si>
  <si>
    <t>115\89</t>
  </si>
  <si>
    <t>100\71</t>
  </si>
  <si>
    <t>101\69</t>
  </si>
  <si>
    <t>88\60</t>
  </si>
  <si>
    <t>114\81</t>
  </si>
  <si>
    <t>82\60</t>
  </si>
  <si>
    <t>100\77</t>
  </si>
  <si>
    <t>SQUADRE</t>
  </si>
  <si>
    <t>CON</t>
  </si>
  <si>
    <t>MX</t>
  </si>
  <si>
    <t>GOL</t>
  </si>
  <si>
    <t>AUT</t>
  </si>
  <si>
    <t>AM</t>
  </si>
  <si>
    <t>ESP</t>
  </si>
  <si>
    <t>MN</t>
  </si>
  <si>
    <t>DISC</t>
  </si>
  <si>
    <t>TEST</t>
  </si>
  <si>
    <t>GSPR</t>
  </si>
  <si>
    <t>ASS</t>
  </si>
  <si>
    <t>80o+</t>
  </si>
  <si>
    <t xml:space="preserve">NO FIVE        </t>
  </si>
  <si>
    <t>nofive</t>
  </si>
  <si>
    <t>SUBITE PORTIERI</t>
  </si>
  <si>
    <t>TROL</t>
  </si>
  <si>
    <t>03\04</t>
  </si>
  <si>
    <t>ATT</t>
  </si>
  <si>
    <t>C</t>
  </si>
  <si>
    <t>REC</t>
  </si>
  <si>
    <t>ANN</t>
  </si>
  <si>
    <t>chb</t>
  </si>
  <si>
    <t>PORTIERI</t>
  </si>
  <si>
    <t>TOTALE\max\min</t>
  </si>
  <si>
    <t>con60</t>
  </si>
  <si>
    <t>TOTALE\max</t>
  </si>
  <si>
    <t>CROC.ANTID.</t>
  </si>
  <si>
    <t>in un camp.</t>
  </si>
  <si>
    <t>NB:</t>
  </si>
  <si>
    <t>Biwi</t>
  </si>
  <si>
    <t>(fine camp. 2003\2004)</t>
  </si>
  <si>
    <t>TS =+ 80</t>
  </si>
  <si>
    <t>TS - 60</t>
  </si>
  <si>
    <t>SUDDIVISIONE RETI CAMPIONATO PER REPARTI:</t>
  </si>
  <si>
    <t>ASINO</t>
  </si>
  <si>
    <t>CIOFECA</t>
  </si>
  <si>
    <t>CLASSIFICA</t>
  </si>
  <si>
    <t>DIFESA</t>
  </si>
  <si>
    <t>CENTROCAM.</t>
  </si>
  <si>
    <t xml:space="preserve">  ATTACCO</t>
  </si>
  <si>
    <t>Lurisi</t>
  </si>
  <si>
    <t>COMPARATA</t>
  </si>
  <si>
    <t xml:space="preserve">DOPING   </t>
  </si>
  <si>
    <t>Barbacini</t>
  </si>
  <si>
    <t>BONAZZOLI</t>
  </si>
  <si>
    <t>(95-96\ 96-97)</t>
  </si>
  <si>
    <t>Calestani</t>
  </si>
  <si>
    <t>STANKOVIC</t>
  </si>
  <si>
    <t>RETI SPRECATE</t>
  </si>
  <si>
    <t>CANNAVARO F.</t>
  </si>
  <si>
    <t>M.I.</t>
  </si>
  <si>
    <t>PAGELLE</t>
  </si>
  <si>
    <t>I NUMERI</t>
  </si>
  <si>
    <t>portieri</t>
  </si>
  <si>
    <t>difensori</t>
  </si>
  <si>
    <t>RETI GIORNATA</t>
  </si>
  <si>
    <t>(+23\-5)</t>
  </si>
  <si>
    <t>(Tot. 370/314)</t>
  </si>
  <si>
    <t>proiez. Finale</t>
  </si>
  <si>
    <t>SERIE POS. (19 high 96\biwi 98)</t>
  </si>
  <si>
    <t>ALLENATORI</t>
  </si>
  <si>
    <t>Antonioli</t>
  </si>
  <si>
    <t>Falcone</t>
  </si>
  <si>
    <t>Corini</t>
  </si>
  <si>
    <t>Sheva</t>
  </si>
  <si>
    <t>Dida (jm)</t>
  </si>
  <si>
    <t>Toldo</t>
  </si>
  <si>
    <t>Cannavaro F.</t>
  </si>
  <si>
    <t>Camoranesi</t>
  </si>
  <si>
    <t>Flachi</t>
  </si>
  <si>
    <t>Antonioli (st)</t>
  </si>
  <si>
    <t>Dida</t>
  </si>
  <si>
    <t>Di Biagio</t>
  </si>
  <si>
    <t>Emerson</t>
  </si>
  <si>
    <t>Vieri</t>
  </si>
  <si>
    <t>De Sanctis (hi)</t>
  </si>
  <si>
    <t>De Sanctis</t>
  </si>
  <si>
    <t>Grosso</t>
  </si>
  <si>
    <t>Pizarro</t>
  </si>
  <si>
    <t>Gilardino</t>
  </si>
  <si>
    <t>Buffon (ha)</t>
  </si>
  <si>
    <t>Buffon</t>
  </si>
  <si>
    <t>Tonetto</t>
  </si>
  <si>
    <t>Kakà</t>
  </si>
  <si>
    <t>Esposito</t>
  </si>
  <si>
    <t>Toldo (lk)</t>
  </si>
  <si>
    <t>Frey</t>
  </si>
  <si>
    <t>Nesta</t>
  </si>
  <si>
    <t>Nedved</t>
  </si>
  <si>
    <t>Chiesa</t>
  </si>
  <si>
    <t>Guardalben (ca)</t>
  </si>
  <si>
    <t>Pelizzoli (bb)</t>
  </si>
  <si>
    <t>BIWI, HIGH</t>
  </si>
  <si>
    <t>(34 high 04/05)</t>
  </si>
  <si>
    <t>Frey (dp)</t>
  </si>
  <si>
    <t>(11)</t>
  </si>
  <si>
    <t>Cad</t>
  </si>
  <si>
    <t>(10)</t>
  </si>
  <si>
    <t>(7)</t>
  </si>
  <si>
    <t xml:space="preserve">Hajduk </t>
  </si>
  <si>
    <t>(6)</t>
  </si>
  <si>
    <t>Doping</t>
  </si>
  <si>
    <t>(14)</t>
  </si>
  <si>
    <t xml:space="preserve">Biwi Biwi </t>
  </si>
  <si>
    <t>(9)</t>
  </si>
  <si>
    <t xml:space="preserve">Lokomotiv </t>
  </si>
  <si>
    <t>Stickers</t>
  </si>
  <si>
    <t>100° rigore realiz. BIWI BIWI (solo HAJDUK +); DOPING ultima a superare quota 26000 TS, BIWI e HAJ sono prime a 27000</t>
  </si>
  <si>
    <t>I BIWI BIWI e il DOPING superano quota 600 ammonizioni (3°); nessun assente x HIGHL, non era mai successo alla franchigia</t>
  </si>
  <si>
    <t>Gli HIGHLENDL eguag. il record ass.to dei Biwi Biwi di 24 1° posti in campion. e migliorano il loro record di franch. di 22 cons.</t>
  </si>
  <si>
    <t>18^ tripletta (o più) x DOPING (record eguagliato di STICKERS) e 3^ quadripletta (RECORD ASS.TO)</t>
  </si>
  <si>
    <t>5 sconfitte consecutive in campionato x HAJDUK mai successo alla franchigia</t>
  </si>
  <si>
    <t>STICKERS sconfitti dopo serie record di franchigia di 10 gare cons. in campionato e 11 totali</t>
  </si>
  <si>
    <t>Il DOPING finisce il torneo senza subire sconfitte in casa (unica) e portando a 15 la serie positiva casalinga (record di franchigia)</t>
  </si>
  <si>
    <t>500° punto per gli STICKERS (4°); 50° pari in casa x DOPING (record ass.to); 300^ fantar.subita fuori da HAJ (solo HIGHL meno)</t>
  </si>
  <si>
    <t>6 gol sprecati in una sola partita x HIGHLENDL, 10° di LUCARELLI, 34° totale (frantumato record di 24) e prima ad arrivare a 200 tot.; CAD record neg. Di franchigia con 26</t>
  </si>
  <si>
    <t>Rec. Pos. Franch. x STICKERS (solo 20 subite portiere) e negat. x BIWI (35); 400^ subita HAJDUK (2^ pegg. Ma il DOPING subite 443!); 351 x LOKOMOTIV, quella che ne ha subite -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</si>
</sst>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&quot;L. &quot;#,##0_);[Red]\(&quot;L. &quot;#,##0\)"/>
    <numFmt numFmtId="173" formatCode="&quot;L. &quot;#,##0.00_);[Red]\(&quot;L. &quot;#,##0.00\)"/>
    <numFmt numFmtId="174" formatCode="0.0"/>
    <numFmt numFmtId="175" formatCode="0.00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4"/>
      <name val="Arial"/>
      <family val="0"/>
    </font>
    <font>
      <sz val="10"/>
      <color indexed="12"/>
      <name val="Arial"/>
      <family val="0"/>
    </font>
    <font>
      <b/>
      <sz val="8"/>
      <name val="Arial"/>
      <family val="0"/>
    </font>
    <font>
      <sz val="10"/>
      <name val="Roman"/>
      <family val="0"/>
    </font>
    <font>
      <sz val="10"/>
      <color indexed="8"/>
      <name val="Arial"/>
      <family val="2"/>
    </font>
    <font>
      <sz val="7"/>
      <color indexed="14"/>
      <name val="Arial"/>
      <family val="2"/>
    </font>
    <font>
      <sz val="8.5"/>
      <name val="MS Sans Serif"/>
      <family val="2"/>
    </font>
    <font>
      <sz val="10"/>
      <color indexed="14"/>
      <name val="MS Sans Serif"/>
      <family val="2"/>
    </font>
    <font>
      <b/>
      <i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11"/>
      <name val="Arial"/>
      <family val="0"/>
    </font>
    <font>
      <sz val="8"/>
      <color indexed="8"/>
      <name val="Arial"/>
      <family val="0"/>
    </font>
    <font>
      <sz val="10"/>
      <color indexed="23"/>
      <name val="Arial"/>
      <family val="0"/>
    </font>
    <font>
      <b/>
      <sz val="12"/>
      <color indexed="14"/>
      <name val="Arial"/>
      <family val="0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i/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MS Sans Serif"/>
      <family val="0"/>
    </font>
    <font>
      <b/>
      <u val="single"/>
      <sz val="10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14"/>
      <name val="Arial"/>
      <family val="2"/>
    </font>
    <font>
      <sz val="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sz val="6"/>
      <name val="Arial"/>
      <family val="2"/>
    </font>
    <font>
      <sz val="8"/>
      <color indexed="14"/>
      <name val="Arial"/>
      <family val="0"/>
    </font>
    <font>
      <sz val="8"/>
      <name val="Times New Roman"/>
      <family val="0"/>
    </font>
    <font>
      <sz val="10"/>
      <color indexed="10"/>
      <name val="Arial"/>
      <family val="2"/>
    </font>
    <font>
      <b/>
      <sz val="10"/>
      <color indexed="12"/>
      <name val="Arial"/>
      <family val="0"/>
    </font>
    <font>
      <b/>
      <u val="single"/>
      <sz val="8"/>
      <name val="Arial"/>
      <family val="0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10"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vertical="center"/>
    </xf>
    <xf numFmtId="2" fontId="8" fillId="0" borderId="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5" fillId="0" borderId="4" xfId="0" applyNumberFormat="1" applyFont="1" applyFill="1" applyBorder="1" applyAlignment="1" applyProtection="1">
      <alignment vertical="center"/>
      <protection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8" fillId="0" borderId="5" xfId="0" applyNumberFormat="1" applyFont="1" applyFill="1" applyBorder="1" applyAlignment="1" applyProtection="1">
      <alignment vertical="center"/>
      <protection/>
    </xf>
    <xf numFmtId="2" fontId="8" fillId="0" borderId="5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8" fillId="0" borderId="18" xfId="0" applyNumberFormat="1" applyFont="1" applyFill="1" applyBorder="1" applyAlignment="1" applyProtection="1">
      <alignment vertical="center"/>
      <protection/>
    </xf>
    <xf numFmtId="2" fontId="8" fillId="0" borderId="18" xfId="0" applyNumberFormat="1" applyFont="1" applyFill="1" applyBorder="1" applyAlignment="1" applyProtection="1">
      <alignment vertical="center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vertical="center"/>
      <protection/>
    </xf>
    <xf numFmtId="1" fontId="4" fillId="0" borderId="19" xfId="0" applyNumberFormat="1" applyFont="1" applyFill="1" applyBorder="1" applyAlignment="1" applyProtection="1">
      <alignment horizontal="left" vertical="center"/>
      <protection/>
    </xf>
    <xf numFmtId="1" fontId="4" fillId="0" borderId="19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2" fontId="8" fillId="0" borderId="11" xfId="0" applyNumberFormat="1" applyFont="1" applyFill="1" applyBorder="1" applyAlignment="1" applyProtection="1">
      <alignment vertical="center"/>
      <protection/>
    </xf>
    <xf numFmtId="1" fontId="4" fillId="0" borderId="22" xfId="0" applyNumberFormat="1" applyFont="1" applyFill="1" applyBorder="1" applyAlignment="1" applyProtection="1">
      <alignment vertical="center"/>
      <protection/>
    </xf>
    <xf numFmtId="0" fontId="5" fillId="0" borderId="23" xfId="0" applyNumberFormat="1" applyFont="1" applyFill="1" applyBorder="1" applyAlignment="1" applyProtection="1">
      <alignment vertical="center"/>
      <protection/>
    </xf>
    <xf numFmtId="2" fontId="8" fillId="0" borderId="23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vertical="center"/>
      <protection/>
    </xf>
    <xf numFmtId="0" fontId="9" fillId="0" borderId="23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25" xfId="0" applyNumberFormat="1" applyFont="1" applyFill="1" applyBorder="1" applyAlignment="1" applyProtection="1">
      <alignment vertical="center"/>
      <protection/>
    </xf>
    <xf numFmtId="0" fontId="5" fillId="0" borderId="2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27" xfId="0" applyNumberFormat="1" applyFont="1" applyFill="1" applyBorder="1" applyAlignment="1" applyProtection="1">
      <alignment vertical="center"/>
      <protection/>
    </xf>
    <xf numFmtId="2" fontId="8" fillId="0" borderId="22" xfId="0" applyNumberFormat="1" applyFont="1" applyFill="1" applyBorder="1" applyAlignment="1" applyProtection="1">
      <alignment vertical="center"/>
      <protection/>
    </xf>
    <xf numFmtId="2" fontId="8" fillId="0" borderId="2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2" fontId="13" fillId="0" borderId="18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5" fillId="0" borderId="1" xfId="0" applyFont="1" applyBorder="1" applyAlignment="1">
      <alignment vertical="center"/>
    </xf>
    <xf numFmtId="0" fontId="5" fillId="0" borderId="28" xfId="0" applyNumberFormat="1" applyFont="1" applyFill="1" applyBorder="1" applyAlignment="1" applyProtection="1">
      <alignment vertical="center"/>
      <protection/>
    </xf>
    <xf numFmtId="2" fontId="8" fillId="0" borderId="29" xfId="0" applyNumberFormat="1" applyFont="1" applyFill="1" applyBorder="1" applyAlignment="1" applyProtection="1">
      <alignment vertical="center"/>
      <protection/>
    </xf>
    <xf numFmtId="2" fontId="8" fillId="0" borderId="30" xfId="0" applyNumberFormat="1" applyFont="1" applyFill="1" applyBorder="1" applyAlignment="1" applyProtection="1">
      <alignment vertical="center"/>
      <protection/>
    </xf>
    <xf numFmtId="2" fontId="8" fillId="0" borderId="31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15" fillId="0" borderId="17" xfId="0" applyFont="1" applyBorder="1" applyAlignment="1">
      <alignment vertical="center"/>
    </xf>
    <xf numFmtId="2" fontId="8" fillId="0" borderId="17" xfId="0" applyNumberFormat="1" applyFont="1" applyFill="1" applyBorder="1" applyAlignment="1" applyProtection="1">
      <alignment vertical="center"/>
      <protection/>
    </xf>
    <xf numFmtId="2" fontId="8" fillId="0" borderId="32" xfId="0" applyNumberFormat="1" applyFont="1" applyFill="1" applyBorder="1" applyAlignment="1" applyProtection="1">
      <alignment vertical="center"/>
      <protection/>
    </xf>
    <xf numFmtId="0" fontId="5" fillId="0" borderId="33" xfId="0" applyNumberFormat="1" applyFont="1" applyFill="1" applyBorder="1" applyAlignment="1" applyProtection="1">
      <alignment vertical="center"/>
      <protection/>
    </xf>
    <xf numFmtId="0" fontId="5" fillId="0" borderId="34" xfId="0" applyNumberFormat="1" applyFont="1" applyFill="1" applyBorder="1" applyAlignment="1" applyProtection="1">
      <alignment vertical="center"/>
      <protection/>
    </xf>
    <xf numFmtId="0" fontId="15" fillId="0" borderId="34" xfId="0" applyFont="1" applyBorder="1" applyAlignment="1">
      <alignment vertical="center"/>
    </xf>
    <xf numFmtId="2" fontId="8" fillId="0" borderId="34" xfId="0" applyNumberFormat="1" applyFont="1" applyFill="1" applyBorder="1" applyAlignment="1" applyProtection="1">
      <alignment vertical="center"/>
      <protection/>
    </xf>
    <xf numFmtId="2" fontId="8" fillId="0" borderId="35" xfId="0" applyNumberFormat="1" applyFont="1" applyFill="1" applyBorder="1" applyAlignment="1" applyProtection="1">
      <alignment vertical="center"/>
      <protection/>
    </xf>
    <xf numFmtId="0" fontId="15" fillId="0" borderId="2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vertical="center"/>
      <protection/>
    </xf>
    <xf numFmtId="0" fontId="6" fillId="0" borderId="36" xfId="0" applyNumberFormat="1" applyFont="1" applyFill="1" applyBorder="1" applyAlignment="1" applyProtection="1">
      <alignment vertical="center"/>
      <protection/>
    </xf>
    <xf numFmtId="0" fontId="10" fillId="0" borderId="3" xfId="0" applyNumberFormat="1" applyFont="1" applyFill="1" applyBorder="1" applyAlignment="1" applyProtection="1">
      <alignment vertical="center"/>
      <protection/>
    </xf>
    <xf numFmtId="0" fontId="10" fillId="0" borderId="36" xfId="0" applyNumberFormat="1" applyFont="1" applyFill="1" applyBorder="1" applyAlignment="1" applyProtection="1">
      <alignment vertical="center"/>
      <protection/>
    </xf>
    <xf numFmtId="0" fontId="10" fillId="0" borderId="36" xfId="0" applyNumberFormat="1" applyFont="1" applyFill="1" applyBorder="1" applyAlignment="1" applyProtection="1">
      <alignment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7" fillId="0" borderId="38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7" fillId="0" borderId="25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7" fillId="0" borderId="37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5" fillId="0" borderId="39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" fillId="0" borderId="39" xfId="0" applyNumberFormat="1" applyFont="1" applyFill="1" applyBorder="1" applyAlignment="1" applyProtection="1">
      <alignment/>
      <protection/>
    </xf>
    <xf numFmtId="0" fontId="5" fillId="0" borderId="4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5" fillId="0" borderId="41" xfId="0" applyNumberFormat="1" applyFont="1" applyFill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/>
      <protection/>
    </xf>
    <xf numFmtId="0" fontId="23" fillId="0" borderId="25" xfId="0" applyNumberFormat="1" applyFont="1" applyFill="1" applyBorder="1" applyAlignment="1" applyProtection="1">
      <alignment/>
      <protection/>
    </xf>
    <xf numFmtId="2" fontId="6" fillId="0" borderId="25" xfId="0" applyNumberFormat="1" applyFont="1" applyFill="1" applyBorder="1" applyAlignment="1" applyProtection="1">
      <alignment horizontal="center"/>
      <protection/>
    </xf>
    <xf numFmtId="0" fontId="7" fillId="0" borderId="25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42" xfId="0" applyNumberFormat="1" applyFont="1" applyFill="1" applyBorder="1" applyAlignment="1" applyProtection="1">
      <alignment/>
      <protection/>
    </xf>
    <xf numFmtId="0" fontId="19" fillId="0" borderId="43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5" fillId="0" borderId="44" xfId="0" applyNumberFormat="1" applyFont="1" applyFill="1" applyBorder="1" applyAlignment="1" applyProtection="1">
      <alignment/>
      <protection/>
    </xf>
    <xf numFmtId="0" fontId="7" fillId="0" borderId="40" xfId="0" applyNumberFormat="1" applyFont="1" applyFill="1" applyBorder="1" applyAlignment="1" applyProtection="1">
      <alignment horizontal="center"/>
      <protection/>
    </xf>
    <xf numFmtId="0" fontId="5" fillId="0" borderId="4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13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8" fillId="0" borderId="46" xfId="0" applyNumberFormat="1" applyFont="1" applyFill="1" applyBorder="1" applyAlignment="1" applyProtection="1">
      <alignment/>
      <protection/>
    </xf>
    <xf numFmtId="0" fontId="5" fillId="0" borderId="46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30" fillId="0" borderId="6" xfId="0" applyNumberFormat="1" applyFont="1" applyFill="1" applyBorder="1" applyAlignment="1" applyProtection="1">
      <alignment vertical="center"/>
      <protection/>
    </xf>
    <xf numFmtId="0" fontId="31" fillId="0" borderId="3" xfId="0" applyNumberFormat="1" applyFont="1" applyFill="1" applyBorder="1" applyAlignment="1" applyProtection="1">
      <alignment vertical="center"/>
      <protection/>
    </xf>
    <xf numFmtId="0" fontId="31" fillId="0" borderId="36" xfId="0" applyNumberFormat="1" applyFont="1" applyFill="1" applyBorder="1" applyAlignment="1" applyProtection="1">
      <alignment vertical="center"/>
      <protection/>
    </xf>
    <xf numFmtId="0" fontId="30" fillId="0" borderId="36" xfId="0" applyNumberFormat="1" applyFont="1" applyFill="1" applyBorder="1" applyAlignment="1" applyProtection="1">
      <alignment vertical="center"/>
      <protection/>
    </xf>
    <xf numFmtId="0" fontId="30" fillId="0" borderId="25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43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47" xfId="0" applyFont="1" applyBorder="1" applyAlignment="1">
      <alignment vertical="center"/>
    </xf>
    <xf numFmtId="0" fontId="5" fillId="0" borderId="25" xfId="0" applyNumberFormat="1" applyFont="1" applyFill="1" applyBorder="1" applyAlignment="1" applyProtection="1">
      <alignment/>
      <protection/>
    </xf>
    <xf numFmtId="0" fontId="5" fillId="0" borderId="34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33" fillId="0" borderId="25" xfId="0" applyNumberFormat="1" applyFont="1" applyFill="1" applyBorder="1" applyAlignment="1" applyProtection="1">
      <alignment/>
      <protection/>
    </xf>
    <xf numFmtId="49" fontId="12" fillId="0" borderId="25" xfId="0" applyNumberFormat="1" applyFont="1" applyFill="1" applyBorder="1" applyAlignment="1" applyProtection="1">
      <alignment/>
      <protection/>
    </xf>
    <xf numFmtId="0" fontId="21" fillId="0" borderId="25" xfId="0" applyNumberFormat="1" applyFont="1" applyFill="1" applyBorder="1" applyAlignment="1" applyProtection="1">
      <alignment horizontal="center"/>
      <protection/>
    </xf>
    <xf numFmtId="0" fontId="12" fillId="0" borderId="25" xfId="0" applyNumberFormat="1" applyFont="1" applyFill="1" applyBorder="1" applyAlignment="1" applyProtection="1">
      <alignment/>
      <protection/>
    </xf>
    <xf numFmtId="49" fontId="34" fillId="0" borderId="25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/>
      <protection/>
    </xf>
    <xf numFmtId="0" fontId="12" fillId="0" borderId="27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21" fillId="0" borderId="25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20" fontId="5" fillId="0" borderId="0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12" fillId="0" borderId="20" xfId="0" applyNumberFormat="1" applyFont="1" applyFill="1" applyBorder="1" applyAlignment="1" applyProtection="1">
      <alignment vertical="center"/>
      <protection/>
    </xf>
    <xf numFmtId="0" fontId="5" fillId="0" borderId="22" xfId="0" applyNumberFormat="1" applyFont="1" applyFill="1" applyBorder="1" applyAlignment="1" applyProtection="1">
      <alignment vertical="center"/>
      <protection/>
    </xf>
    <xf numFmtId="0" fontId="30" fillId="0" borderId="37" xfId="0" applyNumberFormat="1" applyFont="1" applyFill="1" applyBorder="1" applyAlignment="1" applyProtection="1">
      <alignment vertical="center"/>
      <protection/>
    </xf>
    <xf numFmtId="0" fontId="7" fillId="0" borderId="48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7" fillId="0" borderId="49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50" xfId="0" applyNumberFormat="1" applyFont="1" applyFill="1" applyBorder="1" applyAlignment="1" applyProtection="1">
      <alignment vertical="center"/>
      <protection/>
    </xf>
    <xf numFmtId="0" fontId="10" fillId="0" borderId="27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7" fillId="0" borderId="50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vertical="center"/>
      <protection/>
    </xf>
    <xf numFmtId="0" fontId="5" fillId="0" borderId="27" xfId="0" applyNumberFormat="1" applyFont="1" applyFill="1" applyBorder="1" applyAlignment="1" applyProtection="1">
      <alignment vertical="center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51" xfId="0" applyNumberFormat="1" applyFont="1" applyFill="1" applyBorder="1" applyAlignment="1" applyProtection="1">
      <alignment horizontal="center"/>
      <protection/>
    </xf>
    <xf numFmtId="0" fontId="10" fillId="0" borderId="49" xfId="0" applyNumberFormat="1" applyFont="1" applyFill="1" applyBorder="1" applyAlignment="1" applyProtection="1">
      <alignment vertical="center"/>
      <protection/>
    </xf>
    <xf numFmtId="0" fontId="6" fillId="0" borderId="50" xfId="0" applyNumberFormat="1" applyFont="1" applyFill="1" applyBorder="1" applyAlignment="1" applyProtection="1">
      <alignment vertical="center"/>
      <protection/>
    </xf>
    <xf numFmtId="0" fontId="5" fillId="0" borderId="50" xfId="0" applyNumberFormat="1" applyFont="1" applyFill="1" applyBorder="1" applyAlignment="1" applyProtection="1">
      <alignment vertical="center"/>
      <protection/>
    </xf>
    <xf numFmtId="0" fontId="5" fillId="0" borderId="49" xfId="0" applyNumberFormat="1" applyFont="1" applyFill="1" applyBorder="1" applyAlignment="1" applyProtection="1">
      <alignment vertical="center"/>
      <protection/>
    </xf>
    <xf numFmtId="0" fontId="30" fillId="0" borderId="50" xfId="0" applyNumberFormat="1" applyFont="1" applyFill="1" applyBorder="1" applyAlignment="1" applyProtection="1">
      <alignment vertical="center"/>
      <protection/>
    </xf>
    <xf numFmtId="0" fontId="12" fillId="0" borderId="23" xfId="0" applyNumberFormat="1" applyFont="1" applyFill="1" applyBorder="1" applyAlignment="1" applyProtection="1">
      <alignment vertical="center"/>
      <protection/>
    </xf>
    <xf numFmtId="0" fontId="6" fillId="0" borderId="6" xfId="0" applyNumberFormat="1" applyFont="1" applyFill="1" applyBorder="1" applyAlignment="1" applyProtection="1">
      <alignment vertical="center"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6" fillId="0" borderId="7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6" fillId="0" borderId="49" xfId="0" applyNumberFormat="1" applyFont="1" applyFill="1" applyBorder="1" applyAlignment="1" applyProtection="1">
      <alignment vertical="center"/>
      <protection/>
    </xf>
    <xf numFmtId="0" fontId="5" fillId="0" borderId="37" xfId="0" applyNumberFormat="1" applyFont="1" applyFill="1" applyBorder="1" applyAlignment="1" applyProtection="1">
      <alignment vertical="center"/>
      <protection/>
    </xf>
    <xf numFmtId="0" fontId="5" fillId="0" borderId="37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/>
      <protection/>
    </xf>
    <xf numFmtId="0" fontId="31" fillId="0" borderId="6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 vertical="center"/>
      <protection/>
    </xf>
    <xf numFmtId="0" fontId="10" fillId="0" borderId="4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30" fillId="0" borderId="12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6" fillId="0" borderId="48" xfId="0" applyNumberFormat="1" applyFont="1" applyFill="1" applyBorder="1" applyAlignment="1" applyProtection="1">
      <alignment vertical="center"/>
      <protection/>
    </xf>
    <xf numFmtId="0" fontId="10" fillId="0" borderId="51" xfId="0" applyNumberFormat="1" applyFont="1" applyFill="1" applyBorder="1" applyAlignment="1" applyProtection="1">
      <alignment vertical="center"/>
      <protection/>
    </xf>
    <xf numFmtId="0" fontId="17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52" xfId="0" applyNumberFormat="1" applyFont="1" applyFill="1" applyBorder="1" applyAlignment="1" applyProtection="1">
      <alignment vertical="center"/>
      <protection/>
    </xf>
    <xf numFmtId="0" fontId="17" fillId="0" borderId="37" xfId="0" applyNumberFormat="1" applyFont="1" applyFill="1" applyBorder="1" applyAlignment="1" applyProtection="1">
      <alignment horizontal="center" vertical="center"/>
      <protection/>
    </xf>
    <xf numFmtId="0" fontId="1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12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50" xfId="0" applyNumberFormat="1" applyFont="1" applyFill="1" applyBorder="1" applyAlignment="1" applyProtection="1">
      <alignment vertical="center"/>
      <protection/>
    </xf>
    <xf numFmtId="0" fontId="6" fillId="0" borderId="50" xfId="0" applyNumberFormat="1" applyFont="1" applyFill="1" applyBorder="1" applyAlignment="1" applyProtection="1">
      <alignment vertical="center"/>
      <protection/>
    </xf>
    <xf numFmtId="0" fontId="5" fillId="0" borderId="51" xfId="0" applyNumberFormat="1" applyFont="1" applyFill="1" applyBorder="1" applyAlignment="1" applyProtection="1">
      <alignment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49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vertical="center"/>
      <protection/>
    </xf>
    <xf numFmtId="0" fontId="12" fillId="0" borderId="52" xfId="0" applyNumberFormat="1" applyFont="1" applyFill="1" applyBorder="1" applyAlignment="1" applyProtection="1">
      <alignment vertical="center"/>
      <protection/>
    </xf>
    <xf numFmtId="0" fontId="5" fillId="0" borderId="53" xfId="0" applyNumberFormat="1" applyFont="1" applyFill="1" applyBorder="1" applyAlignment="1" applyProtection="1">
      <alignment vertical="center"/>
      <protection/>
    </xf>
    <xf numFmtId="0" fontId="30" fillId="0" borderId="54" xfId="0" applyNumberFormat="1" applyFont="1" applyFill="1" applyBorder="1" applyAlignment="1" applyProtection="1">
      <alignment vertical="center"/>
      <protection/>
    </xf>
    <xf numFmtId="0" fontId="7" fillId="0" borderId="45" xfId="0" applyNumberFormat="1" applyFont="1" applyFill="1" applyBorder="1" applyAlignment="1" applyProtection="1">
      <alignment vertical="center"/>
      <protection/>
    </xf>
    <xf numFmtId="0" fontId="9" fillId="0" borderId="37" xfId="0" applyNumberFormat="1" applyFont="1" applyFill="1" applyBorder="1" applyAlignment="1" applyProtection="1">
      <alignment vertical="center"/>
      <protection/>
    </xf>
    <xf numFmtId="174" fontId="9" fillId="0" borderId="24" xfId="0" applyNumberFormat="1" applyFont="1" applyFill="1" applyBorder="1" applyAlignment="1" applyProtection="1">
      <alignment horizontal="left" vertical="center"/>
      <protection/>
    </xf>
    <xf numFmtId="0" fontId="10" fillId="0" borderId="45" xfId="0" applyNumberFormat="1" applyFont="1" applyFill="1" applyBorder="1" applyAlignment="1" applyProtection="1">
      <alignment vertical="center"/>
      <protection/>
    </xf>
    <xf numFmtId="0" fontId="5" fillId="0" borderId="45" xfId="0" applyNumberFormat="1" applyFont="1" applyFill="1" applyBorder="1" applyAlignment="1" applyProtection="1">
      <alignment vertical="center"/>
      <protection/>
    </xf>
    <xf numFmtId="0" fontId="5" fillId="0" borderId="40" xfId="0" applyNumberFormat="1" applyFont="1" applyFill="1" applyBorder="1" applyAlignment="1" applyProtection="1">
      <alignment vertical="center"/>
      <protection/>
    </xf>
    <xf numFmtId="0" fontId="5" fillId="0" borderId="49" xfId="0" applyNumberFormat="1" applyFont="1" applyFill="1" applyBorder="1" applyAlignment="1" applyProtection="1">
      <alignment horizontal="left" vertical="center"/>
      <protection/>
    </xf>
    <xf numFmtId="0" fontId="7" fillId="0" borderId="25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6" fillId="0" borderId="44" xfId="0" applyNumberFormat="1" applyFont="1" applyFill="1" applyBorder="1" applyAlignment="1" applyProtection="1">
      <alignment vertical="center"/>
      <protection/>
    </xf>
    <xf numFmtId="0" fontId="6" fillId="0" borderId="53" xfId="0" applyNumberFormat="1" applyFont="1" applyFill="1" applyBorder="1" applyAlignment="1" applyProtection="1">
      <alignment vertical="center"/>
      <protection/>
    </xf>
    <xf numFmtId="0" fontId="6" fillId="0" borderId="45" xfId="0" applyNumberFormat="1" applyFont="1" applyFill="1" applyBorder="1" applyAlignment="1" applyProtection="1">
      <alignment vertical="center"/>
      <protection/>
    </xf>
    <xf numFmtId="0" fontId="5" fillId="0" borderId="55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41" fillId="0" borderId="25" xfId="0" applyNumberFormat="1" applyFont="1" applyFill="1" applyBorder="1" applyAlignment="1" applyProtection="1">
      <alignment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 quotePrefix="1">
      <alignment horizontal="right" vertical="center"/>
      <protection/>
    </xf>
    <xf numFmtId="0" fontId="5" fillId="0" borderId="49" xfId="0" applyNumberFormat="1" applyFont="1" applyFill="1" applyBorder="1" applyAlignment="1" applyProtection="1">
      <alignment vertical="center"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42" fillId="0" borderId="25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6" fillId="0" borderId="38" xfId="0" applyNumberFormat="1" applyFont="1" applyFill="1" applyBorder="1" applyAlignment="1" applyProtection="1">
      <alignment vertical="center"/>
      <protection/>
    </xf>
    <xf numFmtId="0" fontId="5" fillId="0" borderId="53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2" fillId="0" borderId="25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0" fontId="10" fillId="0" borderId="56" xfId="0" applyNumberFormat="1" applyFont="1" applyFill="1" applyBorder="1" applyAlignment="1" applyProtection="1">
      <alignment vertical="center"/>
      <protection/>
    </xf>
    <xf numFmtId="0" fontId="10" fillId="0" borderId="50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26" xfId="0" applyNumberFormat="1" applyFont="1" applyFill="1" applyBorder="1" applyAlignment="1" applyProtection="1">
      <alignment vertical="center"/>
      <protection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12" fillId="0" borderId="49" xfId="0" applyNumberFormat="1" applyFont="1" applyFill="1" applyBorder="1" applyAlignment="1" applyProtection="1">
      <alignment horizontal="left" vertical="center"/>
      <protection/>
    </xf>
    <xf numFmtId="0" fontId="7" fillId="0" borderId="5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2" fontId="43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174" fontId="9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left" vertical="center"/>
      <protection/>
    </xf>
    <xf numFmtId="0" fontId="6" fillId="0" borderId="43" xfId="0" applyNumberFormat="1" applyFont="1" applyFill="1" applyBorder="1" applyAlignment="1" applyProtection="1">
      <alignment/>
      <protection/>
    </xf>
    <xf numFmtId="0" fontId="41" fillId="0" borderId="39" xfId="0" applyNumberFormat="1" applyFont="1" applyFill="1" applyBorder="1" applyAlignment="1" applyProtection="1">
      <alignment vertical="center"/>
      <protection/>
    </xf>
    <xf numFmtId="0" fontId="5" fillId="0" borderId="42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7" xfId="0" applyNumberFormat="1" applyFont="1" applyFill="1" applyBorder="1" applyAlignment="1" applyProtection="1">
      <alignment vertical="center"/>
      <protection/>
    </xf>
    <xf numFmtId="0" fontId="42" fillId="0" borderId="25" xfId="0" applyNumberFormat="1" applyFont="1" applyFill="1" applyBorder="1" applyAlignment="1" applyProtection="1">
      <alignment horizontal="left" vertical="center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5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 quotePrefix="1">
      <alignment horizontal="left" vertical="center"/>
      <protection/>
    </xf>
    <xf numFmtId="0" fontId="10" fillId="0" borderId="26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 quotePrefix="1">
      <alignment horizontal="left" vertical="center"/>
      <protection/>
    </xf>
    <xf numFmtId="0" fontId="5" fillId="0" borderId="50" xfId="0" applyNumberFormat="1" applyFont="1" applyFill="1" applyBorder="1" applyAlignment="1" applyProtection="1">
      <alignment horizontal="left" vertical="center"/>
      <protection/>
    </xf>
    <xf numFmtId="0" fontId="5" fillId="0" borderId="49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175" fontId="7" fillId="0" borderId="0" xfId="0" applyNumberFormat="1" applyFont="1" applyFill="1" applyBorder="1" applyAlignment="1" applyProtection="1">
      <alignment vertical="center"/>
      <protection/>
    </xf>
    <xf numFmtId="2" fontId="7" fillId="0" borderId="27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175" fontId="7" fillId="0" borderId="27" xfId="0" applyNumberFormat="1" applyFont="1" applyFill="1" applyBorder="1" applyAlignment="1" applyProtection="1">
      <alignment vertical="center"/>
      <protection/>
    </xf>
    <xf numFmtId="2" fontId="7" fillId="0" borderId="13" xfId="0" applyNumberFormat="1" applyFont="1" applyFill="1" applyBorder="1" applyAlignment="1" applyProtection="1">
      <alignment horizontal="center" vertical="center"/>
      <protection/>
    </xf>
    <xf numFmtId="175" fontId="7" fillId="0" borderId="15" xfId="0" applyNumberFormat="1" applyFont="1" applyFill="1" applyBorder="1" applyAlignment="1" applyProtection="1">
      <alignment vertical="center"/>
      <protection/>
    </xf>
    <xf numFmtId="2" fontId="7" fillId="0" borderId="15" xfId="0" applyNumberFormat="1" applyFont="1" applyFill="1" applyBorder="1" applyAlignment="1" applyProtection="1">
      <alignment horizontal="right"/>
      <protection/>
    </xf>
    <xf numFmtId="0" fontId="6" fillId="0" borderId="27" xfId="0" applyNumberFormat="1" applyFont="1" applyFill="1" applyBorder="1" applyAlignment="1" applyProtection="1">
      <alignment horizontal="right"/>
      <protection/>
    </xf>
    <xf numFmtId="0" fontId="45" fillId="0" borderId="6" xfId="0" applyNumberFormat="1" applyFont="1" applyFill="1" applyBorder="1" applyAlignment="1" applyProtection="1">
      <alignment vertical="center"/>
      <protection/>
    </xf>
    <xf numFmtId="0" fontId="46" fillId="0" borderId="3" xfId="0" applyNumberFormat="1" applyFont="1" applyFill="1" applyBorder="1" applyAlignment="1" applyProtection="1">
      <alignment vertical="center"/>
      <protection/>
    </xf>
    <xf numFmtId="0" fontId="45" fillId="0" borderId="48" xfId="0" applyNumberFormat="1" applyFont="1" applyFill="1" applyBorder="1" applyAlignment="1" applyProtection="1">
      <alignment vertical="center"/>
      <protection/>
    </xf>
    <xf numFmtId="0" fontId="31" fillId="0" borderId="50" xfId="0" applyNumberFormat="1" applyFont="1" applyFill="1" applyBorder="1" applyAlignment="1" applyProtection="1">
      <alignment vertical="center"/>
      <protection/>
    </xf>
    <xf numFmtId="0" fontId="44" fillId="0" borderId="25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44" xfId="0" applyNumberFormat="1" applyFont="1" applyFill="1" applyBorder="1" applyAlignment="1" applyProtection="1">
      <alignment vertical="center"/>
      <protection/>
    </xf>
    <xf numFmtId="2" fontId="8" fillId="0" borderId="57" xfId="0" applyNumberFormat="1" applyFont="1" applyFill="1" applyBorder="1" applyAlignment="1" applyProtection="1">
      <alignment vertical="center"/>
      <protection/>
    </xf>
    <xf numFmtId="175" fontId="8" fillId="0" borderId="40" xfId="0" applyNumberFormat="1" applyFont="1" applyFill="1" applyBorder="1" applyAlignment="1" applyProtection="1">
      <alignment vertical="center"/>
      <protection/>
    </xf>
    <xf numFmtId="0" fontId="12" fillId="0" borderId="23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/>
      <protection/>
    </xf>
    <xf numFmtId="175" fontId="8" fillId="0" borderId="51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44" fillId="0" borderId="16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30" fillId="0" borderId="6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/>
      <protection/>
    </xf>
    <xf numFmtId="0" fontId="30" fillId="0" borderId="36" xfId="0" applyNumberFormat="1" applyFont="1" applyFill="1" applyBorder="1" applyAlignment="1" applyProtection="1">
      <alignment/>
      <protection/>
    </xf>
    <xf numFmtId="0" fontId="10" fillId="0" borderId="36" xfId="0" applyNumberFormat="1" applyFont="1" applyFill="1" applyBorder="1" applyAlignment="1" applyProtection="1">
      <alignment/>
      <protection/>
    </xf>
    <xf numFmtId="0" fontId="30" fillId="0" borderId="56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/>
      <protection/>
    </xf>
    <xf numFmtId="0" fontId="6" fillId="0" borderId="58" xfId="0" applyNumberFormat="1" applyFont="1" applyFill="1" applyBorder="1" applyAlignment="1" applyProtection="1">
      <alignment/>
      <protection/>
    </xf>
    <xf numFmtId="0" fontId="10" fillId="0" borderId="8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/>
      <protection/>
    </xf>
    <xf numFmtId="0" fontId="30" fillId="0" borderId="48" xfId="0" applyNumberFormat="1" applyFont="1" applyFill="1" applyBorder="1" applyAlignment="1" applyProtection="1">
      <alignment/>
      <protection/>
    </xf>
    <xf numFmtId="0" fontId="10" fillId="0" borderId="49" xfId="0" applyNumberFormat="1" applyFont="1" applyFill="1" applyBorder="1" applyAlignment="1" applyProtection="1">
      <alignment/>
      <protection/>
    </xf>
    <xf numFmtId="0" fontId="31" fillId="0" borderId="50" xfId="0" applyNumberFormat="1" applyFont="1" applyFill="1" applyBorder="1" applyAlignment="1" applyProtection="1">
      <alignment/>
      <protection/>
    </xf>
    <xf numFmtId="9" fontId="7" fillId="0" borderId="49" xfId="0" applyNumberFormat="1" applyFont="1" applyFill="1" applyBorder="1" applyAlignment="1" applyProtection="1">
      <alignment/>
      <protection/>
    </xf>
    <xf numFmtId="0" fontId="10" fillId="0" borderId="50" xfId="0" applyNumberFormat="1" applyFont="1" applyFill="1" applyBorder="1" applyAlignment="1" applyProtection="1">
      <alignment/>
      <protection/>
    </xf>
    <xf numFmtId="0" fontId="5" fillId="0" borderId="49" xfId="0" applyNumberFormat="1" applyFont="1" applyFill="1" applyBorder="1" applyAlignment="1" applyProtection="1">
      <alignment/>
      <protection/>
    </xf>
    <xf numFmtId="0" fontId="30" fillId="0" borderId="50" xfId="0" applyNumberFormat="1" applyFont="1" applyFill="1" applyBorder="1" applyAlignment="1" applyProtection="1">
      <alignment/>
      <protection/>
    </xf>
    <xf numFmtId="0" fontId="30" fillId="0" borderId="26" xfId="0" applyNumberFormat="1" applyFont="1" applyFill="1" applyBorder="1" applyAlignment="1" applyProtection="1">
      <alignment/>
      <protection/>
    </xf>
    <xf numFmtId="0" fontId="6" fillId="0" borderId="50" xfId="0" applyNumberFormat="1" applyFont="1" applyFill="1" applyBorder="1" applyAlignment="1" applyProtection="1">
      <alignment/>
      <protection/>
    </xf>
    <xf numFmtId="0" fontId="10" fillId="0" borderId="51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44" fillId="0" borderId="0" xfId="0" applyNumberFormat="1" applyFont="1" applyFill="1" applyBorder="1" applyAlignment="1" applyProtection="1">
      <alignment horizontal="center"/>
      <protection/>
    </xf>
    <xf numFmtId="0" fontId="7" fillId="0" borderId="25" xfId="0" applyNumberFormat="1" applyFont="1" applyFill="1" applyBorder="1" applyAlignment="1" applyProtection="1">
      <alignment horizontal="center"/>
      <protection/>
    </xf>
    <xf numFmtId="0" fontId="7" fillId="0" borderId="27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/>
      <protection/>
    </xf>
    <xf numFmtId="1" fontId="7" fillId="0" borderId="24" xfId="0" applyNumberFormat="1" applyFont="1" applyFill="1" applyBorder="1" applyAlignment="1" applyProtection="1">
      <alignment/>
      <protection/>
    </xf>
    <xf numFmtId="0" fontId="5" fillId="0" borderId="59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41" xfId="0" applyNumberFormat="1" applyFont="1" applyFill="1" applyBorder="1" applyAlignment="1" applyProtection="1">
      <alignment vertical="center"/>
      <protection/>
    </xf>
    <xf numFmtId="175" fontId="8" fillId="0" borderId="60" xfId="0" applyNumberFormat="1" applyFont="1" applyFill="1" applyBorder="1" applyAlignment="1" applyProtection="1">
      <alignment vertical="center"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175" fontId="5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7" fillId="0" borderId="23" xfId="0" applyNumberFormat="1" applyFont="1" applyFill="1" applyBorder="1" applyAlignment="1" applyProtection="1">
      <alignment vertical="center"/>
      <protection/>
    </xf>
    <xf numFmtId="2" fontId="48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/>
      <protection/>
    </xf>
    <xf numFmtId="1" fontId="49" fillId="0" borderId="0" xfId="0" applyNumberFormat="1" applyFont="1" applyFill="1" applyBorder="1" applyAlignment="1" applyProtection="1">
      <alignment/>
      <protection/>
    </xf>
    <xf numFmtId="0" fontId="44" fillId="0" borderId="13" xfId="0" applyNumberFormat="1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1" fontId="7" fillId="0" borderId="14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5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 quotePrefix="1">
      <alignment/>
      <protection/>
    </xf>
    <xf numFmtId="0" fontId="50" fillId="0" borderId="0" xfId="0" applyNumberFormat="1" applyFont="1" applyFill="1" applyBorder="1" applyAlignment="1" applyProtection="1">
      <alignment horizontal="center"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6" fillId="0" borderId="43" xfId="0" applyNumberFormat="1" applyFont="1" applyFill="1" applyBorder="1" applyAlignment="1" applyProtection="1">
      <alignment/>
      <protection/>
    </xf>
    <xf numFmtId="0" fontId="10" fillId="0" borderId="4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6" fillId="0" borderId="43" xfId="0" applyNumberFormat="1" applyFont="1" applyFill="1" applyBorder="1" applyAlignment="1" applyProtection="1">
      <alignment horizontal="left"/>
      <protection/>
    </xf>
    <xf numFmtId="0" fontId="6" fillId="0" borderId="39" xfId="0" applyNumberFormat="1" applyFont="1" applyFill="1" applyBorder="1" applyAlignment="1" applyProtection="1">
      <alignment horizontal="left"/>
      <protection/>
    </xf>
    <xf numFmtId="0" fontId="6" fillId="0" borderId="42" xfId="0" applyNumberFormat="1" applyFont="1" applyFill="1" applyBorder="1" applyAlignment="1" applyProtection="1">
      <alignment horizontal="center"/>
      <protection/>
    </xf>
    <xf numFmtId="0" fontId="7" fillId="0" borderId="43" xfId="0" applyNumberFormat="1" applyFont="1" applyFill="1" applyBorder="1" applyAlignment="1" applyProtection="1">
      <alignment/>
      <protection/>
    </xf>
    <xf numFmtId="0" fontId="6" fillId="0" borderId="39" xfId="0" applyNumberFormat="1" applyFont="1" applyFill="1" applyBorder="1" applyAlignment="1" applyProtection="1">
      <alignment horizontal="center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6" fillId="0" borderId="37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6" fillId="0" borderId="42" xfId="0" applyNumberFormat="1" applyFont="1" applyFill="1" applyBorder="1" applyAlignment="1" applyProtection="1">
      <alignment/>
      <protection/>
    </xf>
    <xf numFmtId="0" fontId="7" fillId="0" borderId="37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44" fillId="0" borderId="24" xfId="0" applyNumberFormat="1" applyFont="1" applyFill="1" applyBorder="1" applyAlignment="1" applyProtection="1">
      <alignment horizontal="center"/>
      <protection/>
    </xf>
    <xf numFmtId="0" fontId="20" fillId="0" borderId="4" xfId="0" applyNumberFormat="1" applyFont="1" applyFill="1" applyBorder="1" applyAlignment="1" applyProtection="1">
      <alignment horizontal="left"/>
      <protection/>
    </xf>
    <xf numFmtId="0" fontId="10" fillId="0" borderId="37" xfId="0" applyNumberFormat="1" applyFont="1" applyFill="1" applyBorder="1" applyAlignment="1" applyProtection="1">
      <alignment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20" fillId="0" borderId="24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 quotePrefix="1">
      <alignment horizontal="center"/>
      <protection/>
    </xf>
    <xf numFmtId="0" fontId="7" fillId="0" borderId="12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right"/>
      <protection/>
    </xf>
    <xf numFmtId="0" fontId="44" fillId="0" borderId="14" xfId="0" applyNumberFormat="1" applyFont="1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7" fillId="0" borderId="24" xfId="0" applyNumberFormat="1" applyFont="1" applyFill="1" applyBorder="1" applyAlignment="1" applyProtection="1" quotePrefix="1">
      <alignment horizontal="center"/>
      <protection/>
    </xf>
    <xf numFmtId="0" fontId="20" fillId="0" borderId="13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 quotePrefix="1">
      <alignment horizontal="center"/>
      <protection/>
    </xf>
    <xf numFmtId="0" fontId="5" fillId="0" borderId="43" xfId="0" applyNumberFormat="1" applyFont="1" applyFill="1" applyBorder="1" applyAlignment="1" applyProtection="1">
      <alignment/>
      <protection/>
    </xf>
    <xf numFmtId="0" fontId="7" fillId="0" borderId="42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6" fillId="0" borderId="44" xfId="0" applyNumberFormat="1" applyFont="1" applyFill="1" applyBorder="1" applyAlignment="1" applyProtection="1">
      <alignment/>
      <protection/>
    </xf>
    <xf numFmtId="0" fontId="10" fillId="0" borderId="43" xfId="0" applyNumberFormat="1" applyFont="1" applyFill="1" applyBorder="1" applyAlignment="1" applyProtection="1">
      <alignment horizontal="left"/>
      <protection/>
    </xf>
    <xf numFmtId="0" fontId="10" fillId="0" borderId="39" xfId="0" applyNumberFormat="1" applyFont="1" applyFill="1" applyBorder="1" applyAlignment="1" applyProtection="1">
      <alignment horizontal="left"/>
      <protection/>
    </xf>
    <xf numFmtId="0" fontId="10" fillId="0" borderId="39" xfId="0" applyNumberFormat="1" applyFont="1" applyFill="1" applyBorder="1" applyAlignment="1" applyProtection="1">
      <alignment horizontal="center"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 vertical="center"/>
      <protection/>
    </xf>
    <xf numFmtId="0" fontId="5" fillId="0" borderId="37" xfId="0" applyNumberFormat="1" applyFont="1" applyFill="1" applyBorder="1" applyAlignment="1" applyProtection="1">
      <alignment/>
      <protection/>
    </xf>
    <xf numFmtId="2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61" xfId="0" applyNumberFormat="1" applyFont="1" applyFill="1" applyBorder="1" applyAlignment="1" applyProtection="1">
      <alignment vertical="center"/>
      <protection/>
    </xf>
    <xf numFmtId="0" fontId="5" fillId="0" borderId="62" xfId="0" applyNumberFormat="1" applyFont="1" applyFill="1" applyBorder="1" applyAlignment="1" applyProtection="1">
      <alignment vertical="center"/>
      <protection/>
    </xf>
    <xf numFmtId="0" fontId="5" fillId="0" borderId="33" xfId="0" applyNumberFormat="1" applyFont="1" applyFill="1" applyBorder="1" applyAlignment="1" applyProtection="1">
      <alignment vertical="center"/>
      <protection/>
    </xf>
    <xf numFmtId="2" fontId="5" fillId="0" borderId="24" xfId="0" applyNumberFormat="1" applyFont="1" applyFill="1" applyBorder="1" applyAlignment="1" applyProtection="1">
      <alignment horizontal="left" vertical="center"/>
      <protection/>
    </xf>
    <xf numFmtId="2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61" xfId="0" applyNumberFormat="1" applyFont="1" applyFill="1" applyBorder="1" applyAlignment="1" applyProtection="1">
      <alignment vertical="center"/>
      <protection/>
    </xf>
    <xf numFmtId="0" fontId="6" fillId="0" borderId="8" xfId="0" applyNumberFormat="1" applyFont="1" applyFill="1" applyBorder="1" applyAlignment="1" applyProtection="1">
      <alignment vertical="center"/>
      <protection/>
    </xf>
    <xf numFmtId="0" fontId="5" fillId="0" borderId="63" xfId="0" applyNumberFormat="1" applyFont="1" applyFill="1" applyBorder="1" applyAlignment="1" applyProtection="1">
      <alignment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5" fillId="0" borderId="64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vertical="center"/>
      <protection/>
    </xf>
    <xf numFmtId="0" fontId="0" fillId="0" borderId="59" xfId="0" applyBorder="1" applyAlignment="1">
      <alignment vertical="center"/>
    </xf>
    <xf numFmtId="0" fontId="14" fillId="0" borderId="1" xfId="0" applyFont="1" applyBorder="1" applyAlignment="1">
      <alignment vertical="center"/>
    </xf>
    <xf numFmtId="0" fontId="6" fillId="0" borderId="4" xfId="0" applyNumberFormat="1" applyFont="1" applyFill="1" applyBorder="1" applyAlignment="1" applyProtection="1">
      <alignment vertical="center"/>
      <protection/>
    </xf>
    <xf numFmtId="0" fontId="6" fillId="0" borderId="65" xfId="0" applyNumberFormat="1" applyFont="1" applyFill="1" applyBorder="1" applyAlignment="1" applyProtection="1">
      <alignment vertical="center"/>
      <protection/>
    </xf>
    <xf numFmtId="0" fontId="6" fillId="0" borderId="66" xfId="0" applyNumberFormat="1" applyFont="1" applyFill="1" applyBorder="1" applyAlignment="1" applyProtection="1">
      <alignment vertical="center"/>
      <protection/>
    </xf>
    <xf numFmtId="0" fontId="5" fillId="0" borderId="67" xfId="0" applyNumberFormat="1" applyFont="1" applyFill="1" applyBorder="1" applyAlignment="1" applyProtection="1">
      <alignment vertical="center"/>
      <protection/>
    </xf>
    <xf numFmtId="2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10" fillId="0" borderId="66" xfId="0" applyNumberFormat="1" applyFont="1" applyFill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0" fontId="5" fillId="0" borderId="69" xfId="0" applyNumberFormat="1" applyFont="1" applyFill="1" applyBorder="1" applyAlignment="1" applyProtection="1">
      <alignment vertical="center"/>
      <protection/>
    </xf>
    <xf numFmtId="0" fontId="12" fillId="0" borderId="17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2" fontId="5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2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2" fontId="5" fillId="0" borderId="12" xfId="0" applyNumberFormat="1" applyFont="1" applyFill="1" applyBorder="1" applyAlignment="1" applyProtection="1">
      <alignment horizontal="left" vertical="center"/>
      <protection/>
    </xf>
    <xf numFmtId="0" fontId="24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 applyProtection="1">
      <alignment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6" xfId="0" applyNumberFormat="1" applyFont="1" applyFill="1" applyBorder="1" applyAlignment="1" applyProtection="1">
      <alignment vertical="center"/>
      <protection/>
    </xf>
    <xf numFmtId="0" fontId="9" fillId="0" borderId="34" xfId="0" applyNumberFormat="1" applyFont="1" applyFill="1" applyBorder="1" applyAlignment="1" applyProtection="1">
      <alignment vertical="center"/>
      <protection/>
    </xf>
    <xf numFmtId="0" fontId="9" fillId="0" borderId="15" xfId="0" applyNumberFormat="1" applyFont="1" applyFill="1" applyBorder="1" applyAlignment="1" applyProtection="1">
      <alignment vertical="center"/>
      <protection/>
    </xf>
    <xf numFmtId="0" fontId="5" fillId="0" borderId="47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/>
      <protection/>
    </xf>
    <xf numFmtId="0" fontId="7" fillId="0" borderId="53" xfId="0" applyNumberFormat="1" applyFont="1" applyFill="1" applyBorder="1" applyAlignment="1" applyProtection="1">
      <alignment/>
      <protection/>
    </xf>
    <xf numFmtId="0" fontId="8" fillId="0" borderId="23" xfId="0" applyNumberFormat="1" applyFont="1" applyFill="1" applyBorder="1" applyAlignment="1" applyProtection="1">
      <alignment vertical="center"/>
      <protection/>
    </xf>
    <xf numFmtId="0" fontId="9" fillId="0" borderId="23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50" xfId="0" applyNumberFormat="1" applyFont="1" applyFill="1" applyBorder="1" applyAlignment="1" applyProtection="1">
      <alignment horizontal="left" vertical="center"/>
      <protection/>
    </xf>
    <xf numFmtId="0" fontId="5" fillId="0" borderId="49" xfId="0" applyNumberFormat="1" applyFont="1" applyFill="1" applyBorder="1" applyAlignment="1" applyProtection="1">
      <alignment horizontal="left" vertical="center"/>
      <protection/>
    </xf>
    <xf numFmtId="0" fontId="7" fillId="0" borderId="49" xfId="0" applyNumberFormat="1" applyFont="1" applyFill="1" applyBorder="1" applyAlignment="1" applyProtection="1">
      <alignment horizontal="right" vertical="center"/>
      <protection/>
    </xf>
    <xf numFmtId="0" fontId="7" fillId="0" borderId="26" xfId="0" applyNumberFormat="1" applyFont="1" applyFill="1" applyBorder="1" applyAlignment="1" applyProtection="1">
      <alignment horizontal="right" vertical="center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53" xfId="0" applyNumberFormat="1" applyFont="1" applyFill="1" applyBorder="1" applyAlignment="1" applyProtection="1">
      <alignment horizontal="right" vertical="center"/>
      <protection/>
    </xf>
    <xf numFmtId="0" fontId="7" fillId="0" borderId="55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ont>
        <b/>
        <i/>
        <color rgb="FF0000FF"/>
      </font>
      <border/>
    </dxf>
    <dxf>
      <font>
        <b val="0"/>
        <i val="0"/>
        <color rgb="FFFF0000"/>
      </font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IFIC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IFICA"/>
    </sheetNames>
    <sheetDataSet>
      <sheetData sheetId="0">
        <row r="74">
          <cell r="F74">
            <v>77</v>
          </cell>
          <cell r="T74">
            <v>54</v>
          </cell>
          <cell r="BC74">
            <v>57</v>
          </cell>
        </row>
        <row r="78">
          <cell r="D78">
            <v>44</v>
          </cell>
          <cell r="S78">
            <v>546</v>
          </cell>
          <cell r="T78">
            <v>60</v>
          </cell>
        </row>
        <row r="79">
          <cell r="D79">
            <v>53</v>
          </cell>
        </row>
        <row r="80">
          <cell r="AA80">
            <v>161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C374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14.00390625" style="3" customWidth="1"/>
    <col min="2" max="2" width="4.421875" style="3" customWidth="1"/>
    <col min="3" max="3" width="4.00390625" style="3" customWidth="1"/>
    <col min="4" max="4" width="4.28125" style="3" customWidth="1"/>
    <col min="5" max="5" width="4.421875" style="3" customWidth="1"/>
    <col min="6" max="6" width="5.421875" style="3" customWidth="1"/>
    <col min="7" max="7" width="5.00390625" style="3" customWidth="1"/>
    <col min="8" max="8" width="4.7109375" style="3" customWidth="1"/>
    <col min="9" max="9" width="3.7109375" style="3" customWidth="1"/>
    <col min="10" max="10" width="3.8515625" style="3" customWidth="1"/>
    <col min="11" max="11" width="4.7109375" style="3" customWidth="1"/>
    <col min="12" max="12" width="4.28125" style="3" customWidth="1"/>
    <col min="13" max="13" width="4.00390625" style="3" customWidth="1"/>
    <col min="14" max="14" width="3.57421875" style="3" customWidth="1"/>
    <col min="15" max="15" width="4.00390625" style="3" customWidth="1"/>
    <col min="16" max="16" width="4.421875" style="3" customWidth="1"/>
    <col min="17" max="17" width="4.8515625" style="3" customWidth="1"/>
    <col min="18" max="18" width="4.140625" style="3" customWidth="1"/>
    <col min="19" max="19" width="5.00390625" style="3" customWidth="1"/>
    <col min="20" max="22" width="5.140625" style="3" customWidth="1"/>
    <col min="23" max="23" width="4.421875" style="3" customWidth="1"/>
    <col min="24" max="25" width="4.00390625" style="3" customWidth="1"/>
    <col min="26" max="26" width="4.57421875" style="3" customWidth="1"/>
    <col min="27" max="27" width="4.00390625" style="3" customWidth="1"/>
    <col min="28" max="28" width="4.8515625" style="3" customWidth="1"/>
    <col min="29" max="29" width="6.00390625" style="2" customWidth="1"/>
    <col min="30" max="30" width="6.28125" style="3" customWidth="1"/>
    <col min="31" max="32" width="8.28125" style="3" customWidth="1"/>
    <col min="33" max="33" width="8.00390625" style="3" customWidth="1"/>
    <col min="34" max="34" width="9.00390625" style="3" customWidth="1"/>
    <col min="35" max="35" width="10.00390625" style="3" customWidth="1"/>
    <col min="36" max="36" width="7.00390625" style="4" customWidth="1"/>
    <col min="37" max="37" width="8.00390625" style="3" customWidth="1"/>
    <col min="38" max="38" width="5.00390625" style="3" customWidth="1"/>
    <col min="39" max="39" width="6.00390625" style="3" customWidth="1"/>
    <col min="40" max="41" width="6.00390625" style="1" customWidth="1"/>
    <col min="42" max="42" width="8.00390625" style="3" customWidth="1"/>
    <col min="43" max="43" width="10.00390625" style="3" customWidth="1"/>
    <col min="44" max="44" width="4.7109375" style="3" customWidth="1"/>
    <col min="45" max="45" width="10.00390625" style="3" customWidth="1"/>
    <col min="46" max="46" width="9.00390625" style="3" customWidth="1"/>
    <col min="47" max="47" width="4.57421875" style="3" customWidth="1"/>
    <col min="48" max="48" width="9.00390625" style="3" customWidth="1"/>
    <col min="49" max="49" width="9.00390625" style="61" customWidth="1"/>
    <col min="50" max="50" width="8.140625" style="3" customWidth="1"/>
    <col min="51" max="51" width="6.140625" style="3" customWidth="1"/>
    <col min="52" max="52" width="7.421875" style="3" customWidth="1"/>
    <col min="53" max="53" width="9.57421875" style="61" customWidth="1"/>
    <col min="54" max="54" width="9.00390625" style="3" customWidth="1"/>
    <col min="55" max="55" width="5.57421875" style="61" customWidth="1"/>
    <col min="56" max="56" width="11.28125" style="3" customWidth="1"/>
    <col min="57" max="57" width="4.8515625" style="61" customWidth="1"/>
    <col min="58" max="58" width="9.00390625" style="3" customWidth="1"/>
    <col min="59" max="59" width="9.7109375" style="61" customWidth="1"/>
    <col min="60" max="60" width="8.28125" style="3" customWidth="1"/>
    <col min="61" max="61" width="10.00390625" style="61" customWidth="1"/>
    <col min="62" max="62" width="8.140625" style="3" customWidth="1"/>
    <col min="63" max="63" width="5.8515625" style="61" customWidth="1"/>
    <col min="64" max="64" width="6.7109375" style="3" customWidth="1"/>
    <col min="65" max="65" width="4.00390625" style="61" customWidth="1"/>
    <col min="66" max="66" width="13.00390625" style="3" customWidth="1"/>
    <col min="67" max="67" width="4.00390625" style="61" customWidth="1"/>
    <col min="68" max="68" width="8.00390625" style="3" customWidth="1"/>
    <col min="69" max="69" width="3.00390625" style="61" customWidth="1"/>
    <col min="70" max="70" width="9.00390625" style="3" customWidth="1"/>
    <col min="71" max="73" width="0" style="3" hidden="1" customWidth="1"/>
    <col min="74" max="74" width="10.00390625" style="3" customWidth="1"/>
    <col min="75" max="75" width="6.00390625" style="3" customWidth="1"/>
    <col min="76" max="76" width="0.9921875" style="3" customWidth="1"/>
    <col min="77" max="77" width="10.00390625" style="3" customWidth="1"/>
    <col min="78" max="78" width="3.00390625" style="3" customWidth="1"/>
    <col min="79" max="79" width="0.9921875" style="3" customWidth="1"/>
    <col min="80" max="80" width="10.00390625" style="3" customWidth="1"/>
    <col min="81" max="81" width="3.00390625" style="3" customWidth="1"/>
    <col min="82" max="16384" width="10.00390625" style="3" customWidth="1"/>
  </cols>
  <sheetData>
    <row r="1" spans="1:67" ht="12" customHeight="1" thickBot="1">
      <c r="A1" s="12" t="s">
        <v>0</v>
      </c>
      <c r="B1" s="12" t="s">
        <v>1</v>
      </c>
      <c r="C1" s="12" t="s">
        <v>434</v>
      </c>
      <c r="D1" s="13" t="s">
        <v>2</v>
      </c>
      <c r="E1" s="14"/>
      <c r="F1" s="14"/>
      <c r="G1" s="15"/>
      <c r="H1" s="13" t="s">
        <v>3</v>
      </c>
      <c r="I1" s="14"/>
      <c r="J1" s="14"/>
      <c r="K1" s="15"/>
      <c r="L1" s="16" t="s">
        <v>4</v>
      </c>
      <c r="M1" s="10"/>
      <c r="N1" s="10"/>
      <c r="O1" s="11"/>
      <c r="P1" s="17" t="s">
        <v>5</v>
      </c>
      <c r="Q1" s="18"/>
      <c r="R1" s="18"/>
      <c r="S1" s="18"/>
      <c r="T1" s="18"/>
      <c r="U1" s="19"/>
      <c r="V1" s="13" t="s">
        <v>6</v>
      </c>
      <c r="W1" s="15"/>
      <c r="X1" s="17" t="s">
        <v>7</v>
      </c>
      <c r="Y1" s="18"/>
      <c r="Z1" s="18"/>
      <c r="AA1" s="18"/>
      <c r="AB1" s="19"/>
      <c r="AC1" s="20" t="s">
        <v>8</v>
      </c>
      <c r="AD1" s="21" t="s">
        <v>9</v>
      </c>
      <c r="AE1" s="21" t="s">
        <v>9</v>
      </c>
      <c r="AF1" s="15" t="s">
        <v>10</v>
      </c>
      <c r="AG1" s="12" t="s">
        <v>10</v>
      </c>
      <c r="AH1" s="8" t="s">
        <v>11</v>
      </c>
      <c r="AI1" s="22" t="s">
        <v>12</v>
      </c>
      <c r="AJ1" s="22" t="s">
        <v>13</v>
      </c>
      <c r="AK1" s="8" t="s">
        <v>14</v>
      </c>
      <c r="AL1" s="8" t="s">
        <v>15</v>
      </c>
      <c r="AM1" s="8" t="s">
        <v>16</v>
      </c>
      <c r="AN1" s="22" t="s">
        <v>17</v>
      </c>
      <c r="AO1" s="22" t="s">
        <v>18</v>
      </c>
      <c r="AP1" s="8"/>
      <c r="AT1" s="8"/>
      <c r="AU1" s="8"/>
      <c r="AV1" s="8"/>
      <c r="AW1" s="49"/>
      <c r="AX1" s="8"/>
      <c r="AY1" s="8"/>
      <c r="AZ1" s="8"/>
      <c r="BA1" s="49"/>
      <c r="BB1" s="8"/>
      <c r="BC1" s="49"/>
      <c r="BD1" s="8"/>
      <c r="BE1" s="49"/>
      <c r="BF1" s="8"/>
      <c r="BG1" s="49"/>
      <c r="BH1" s="8"/>
      <c r="BI1" s="49"/>
      <c r="BJ1" s="8"/>
      <c r="BK1" s="49"/>
      <c r="BL1" s="8"/>
      <c r="BM1" s="49"/>
      <c r="BN1" s="8"/>
      <c r="BO1" s="49"/>
    </row>
    <row r="2" spans="1:76" ht="12" customHeight="1" thickBot="1">
      <c r="A2" s="23"/>
      <c r="B2" s="23"/>
      <c r="C2" s="461"/>
      <c r="D2" s="24"/>
      <c r="E2" s="25"/>
      <c r="F2" s="25"/>
      <c r="G2" s="26"/>
      <c r="H2" s="24"/>
      <c r="I2" s="25" t="s">
        <v>44</v>
      </c>
      <c r="J2" s="25"/>
      <c r="K2" s="26"/>
      <c r="L2" s="27"/>
      <c r="M2" s="78"/>
      <c r="N2" s="28"/>
      <c r="O2" s="29"/>
      <c r="P2" s="24" t="s">
        <v>19</v>
      </c>
      <c r="Q2" s="30"/>
      <c r="R2" s="31" t="s">
        <v>3</v>
      </c>
      <c r="S2" s="32"/>
      <c r="T2" s="25" t="s">
        <v>4</v>
      </c>
      <c r="U2" s="26"/>
      <c r="V2" s="24" t="s">
        <v>20</v>
      </c>
      <c r="W2" s="26"/>
      <c r="X2" s="24" t="s">
        <v>21</v>
      </c>
      <c r="Y2" s="30"/>
      <c r="Z2" s="25" t="s">
        <v>22</v>
      </c>
      <c r="AA2" s="30"/>
      <c r="AB2" s="12" t="s">
        <v>23</v>
      </c>
      <c r="AC2" s="33"/>
      <c r="AD2" s="34"/>
      <c r="AE2" s="58" t="s">
        <v>24</v>
      </c>
      <c r="AF2" s="48"/>
      <c r="AG2" s="35" t="s">
        <v>24</v>
      </c>
      <c r="AH2" s="8" t="s">
        <v>25</v>
      </c>
      <c r="AI2" s="36"/>
      <c r="AJ2" s="36"/>
      <c r="AK2" s="8" t="s">
        <v>26</v>
      </c>
      <c r="AL2" s="8"/>
      <c r="AM2" s="8"/>
      <c r="AN2" s="37" t="s">
        <v>27</v>
      </c>
      <c r="AO2" s="38"/>
      <c r="AP2" s="8"/>
      <c r="AQ2" s="5"/>
      <c r="AW2" s="52"/>
      <c r="AX2" s="52"/>
      <c r="AY2" s="52"/>
      <c r="AZ2" s="80"/>
      <c r="BA2" s="52"/>
      <c r="BB2" s="52"/>
      <c r="BC2" s="52"/>
      <c r="BD2" s="80"/>
      <c r="BE2" s="52"/>
      <c r="BF2" s="81" t="s">
        <v>47</v>
      </c>
      <c r="BG2" s="81"/>
      <c r="BH2" s="82"/>
      <c r="BI2" s="81"/>
      <c r="BJ2" s="80"/>
      <c r="BK2" s="52"/>
      <c r="BL2" s="80"/>
      <c r="BM2" s="52"/>
      <c r="BN2" s="80"/>
      <c r="BO2" s="80"/>
      <c r="BP2" s="83"/>
      <c r="BQ2" s="84"/>
      <c r="BR2" s="83"/>
      <c r="BS2" s="83"/>
      <c r="BT2" s="83"/>
      <c r="BU2" s="83"/>
      <c r="BV2" s="83"/>
      <c r="BW2" s="83"/>
      <c r="BX2" s="83"/>
    </row>
    <row r="3" spans="1:76" ht="12" customHeight="1" thickBot="1">
      <c r="A3" s="63"/>
      <c r="B3" s="39"/>
      <c r="C3" s="459"/>
      <c r="D3" s="39" t="s">
        <v>28</v>
      </c>
      <c r="E3" s="39" t="s">
        <v>29</v>
      </c>
      <c r="F3" s="39" t="s">
        <v>30</v>
      </c>
      <c r="G3" s="39" t="s">
        <v>1</v>
      </c>
      <c r="H3" s="39" t="s">
        <v>28</v>
      </c>
      <c r="I3" s="39" t="s">
        <v>29</v>
      </c>
      <c r="J3" s="39" t="s">
        <v>30</v>
      </c>
      <c r="K3" s="39" t="s">
        <v>1</v>
      </c>
      <c r="L3" s="39" t="s">
        <v>28</v>
      </c>
      <c r="M3" s="39" t="s">
        <v>29</v>
      </c>
      <c r="N3" s="39" t="s">
        <v>30</v>
      </c>
      <c r="O3" s="39" t="s">
        <v>1</v>
      </c>
      <c r="P3" s="39" t="s">
        <v>31</v>
      </c>
      <c r="Q3" s="39" t="s">
        <v>32</v>
      </c>
      <c r="R3" s="39" t="s">
        <v>31</v>
      </c>
      <c r="S3" s="39" t="s">
        <v>32</v>
      </c>
      <c r="T3" s="39" t="s">
        <v>31</v>
      </c>
      <c r="U3" s="39" t="s">
        <v>32</v>
      </c>
      <c r="V3" s="39" t="s">
        <v>31</v>
      </c>
      <c r="W3" s="39" t="s">
        <v>32</v>
      </c>
      <c r="X3" s="39" t="s">
        <v>33</v>
      </c>
      <c r="Y3" s="39" t="s">
        <v>34</v>
      </c>
      <c r="Z3" s="39" t="s">
        <v>33</v>
      </c>
      <c r="AA3" s="39" t="s">
        <v>34</v>
      </c>
      <c r="AB3" s="23" t="s">
        <v>35</v>
      </c>
      <c r="AC3" s="40"/>
      <c r="AD3" s="41"/>
      <c r="AE3" s="41"/>
      <c r="AF3" s="26"/>
      <c r="AG3" s="23"/>
      <c r="AH3" s="8"/>
      <c r="AI3" s="36"/>
      <c r="AJ3" s="36"/>
      <c r="AK3" s="8"/>
      <c r="AL3" s="8"/>
      <c r="AM3" s="51"/>
      <c r="AN3" s="42"/>
      <c r="AO3" s="42"/>
      <c r="AP3" s="8"/>
      <c r="AW3" s="147" t="s">
        <v>48</v>
      </c>
      <c r="AX3" s="148"/>
      <c r="AY3" s="86" t="s">
        <v>49</v>
      </c>
      <c r="AZ3" s="87"/>
      <c r="BA3" s="86" t="s">
        <v>50</v>
      </c>
      <c r="BB3" s="87"/>
      <c r="BC3" s="149" t="s">
        <v>51</v>
      </c>
      <c r="BD3" s="87"/>
      <c r="BE3" s="88" t="s">
        <v>52</v>
      </c>
      <c r="BF3" s="85"/>
      <c r="BG3" s="89" t="s">
        <v>53</v>
      </c>
      <c r="BH3" s="87"/>
      <c r="BI3" s="89" t="s">
        <v>54</v>
      </c>
      <c r="BJ3" s="87"/>
      <c r="BK3" s="150" t="s">
        <v>55</v>
      </c>
      <c r="BL3" s="163"/>
      <c r="BM3" s="150" t="s">
        <v>61</v>
      </c>
      <c r="BN3" s="90"/>
      <c r="BO3" s="8"/>
      <c r="BQ3" s="3"/>
      <c r="BU3" s="83"/>
      <c r="BX3" s="83"/>
    </row>
    <row r="4" spans="1:76" ht="15.75" customHeight="1" thickBot="1">
      <c r="A4" s="448" t="s">
        <v>39</v>
      </c>
      <c r="B4" s="187">
        <v>51</v>
      </c>
      <c r="C4" s="187">
        <v>-5</v>
      </c>
      <c r="D4" s="187">
        <v>28</v>
      </c>
      <c r="E4" s="187">
        <v>14</v>
      </c>
      <c r="F4" s="187">
        <v>9</v>
      </c>
      <c r="G4" s="187">
        <v>5</v>
      </c>
      <c r="H4" s="187">
        <v>14</v>
      </c>
      <c r="I4" s="187">
        <v>10</v>
      </c>
      <c r="J4" s="187">
        <v>1</v>
      </c>
      <c r="K4" s="187">
        <v>3</v>
      </c>
      <c r="L4" s="187">
        <v>14</v>
      </c>
      <c r="M4" s="187">
        <v>4</v>
      </c>
      <c r="N4" s="187">
        <v>8</v>
      </c>
      <c r="O4" s="187">
        <v>2</v>
      </c>
      <c r="P4" s="187">
        <v>46</v>
      </c>
      <c r="Q4" s="187">
        <v>32</v>
      </c>
      <c r="R4" s="187">
        <v>29</v>
      </c>
      <c r="S4" s="187">
        <v>14</v>
      </c>
      <c r="T4" s="187">
        <v>17</v>
      </c>
      <c r="U4" s="187">
        <v>18</v>
      </c>
      <c r="V4" s="187">
        <v>52</v>
      </c>
      <c r="W4" s="187">
        <v>36</v>
      </c>
      <c r="X4" s="187">
        <v>8</v>
      </c>
      <c r="Y4" s="187">
        <v>5</v>
      </c>
      <c r="Z4" s="187">
        <v>3</v>
      </c>
      <c r="AA4" s="187">
        <v>3</v>
      </c>
      <c r="AB4" s="187">
        <v>1</v>
      </c>
      <c r="AC4" s="62">
        <f>AH4/AK4</f>
        <v>6.053571428571429</v>
      </c>
      <c r="AD4" s="55">
        <f>AF4/D4</f>
        <v>70.89285714285714</v>
      </c>
      <c r="AE4" s="64">
        <f>AG4/D4</f>
        <v>68.46428571428571</v>
      </c>
      <c r="AF4" s="187">
        <v>1985</v>
      </c>
      <c r="AG4" s="39">
        <v>1917</v>
      </c>
      <c r="AH4" s="187">
        <v>1864.5</v>
      </c>
      <c r="AI4" s="187">
        <v>81</v>
      </c>
      <c r="AJ4" s="188">
        <v>59.5</v>
      </c>
      <c r="AK4" s="187">
        <v>308</v>
      </c>
      <c r="AL4" s="187">
        <v>71</v>
      </c>
      <c r="AM4" s="187">
        <v>62</v>
      </c>
      <c r="AN4" s="43">
        <v>91</v>
      </c>
      <c r="AO4" s="43">
        <v>57.5</v>
      </c>
      <c r="AP4" s="47" t="s">
        <v>225</v>
      </c>
      <c r="AR4" s="79"/>
      <c r="AW4" s="191" t="s">
        <v>226</v>
      </c>
      <c r="AX4" s="193">
        <v>23</v>
      </c>
      <c r="AY4" s="195" t="s">
        <v>36</v>
      </c>
      <c r="AZ4" s="193">
        <f>C77</f>
        <v>3</v>
      </c>
      <c r="BA4" s="195" t="s">
        <v>36</v>
      </c>
      <c r="BB4" s="193">
        <v>6</v>
      </c>
      <c r="BC4" s="198" t="s">
        <v>177</v>
      </c>
      <c r="BD4" s="193">
        <v>27</v>
      </c>
      <c r="BE4" s="195" t="s">
        <v>39</v>
      </c>
      <c r="BF4" s="193">
        <v>3</v>
      </c>
      <c r="BG4" s="195" t="s">
        <v>41</v>
      </c>
      <c r="BH4" s="193">
        <v>36</v>
      </c>
      <c r="BI4" s="195" t="s">
        <v>46</v>
      </c>
      <c r="BJ4" s="193">
        <f>N74</f>
        <v>5</v>
      </c>
      <c r="BK4" s="50" t="s">
        <v>37</v>
      </c>
      <c r="BL4" s="107">
        <v>1</v>
      </c>
      <c r="BM4" s="195" t="s">
        <v>42</v>
      </c>
      <c r="BN4" s="202">
        <v>1</v>
      </c>
      <c r="BO4" s="8"/>
      <c r="BQ4" s="3"/>
      <c r="BU4" s="61"/>
      <c r="BV4" s="61"/>
      <c r="BW4" s="61"/>
      <c r="BX4" s="61"/>
    </row>
    <row r="5" spans="1:76" ht="15.75" customHeight="1">
      <c r="A5" s="453" t="s">
        <v>42</v>
      </c>
      <c r="B5" s="72">
        <v>42</v>
      </c>
      <c r="C5" s="72">
        <v>-14</v>
      </c>
      <c r="D5" s="72">
        <v>28</v>
      </c>
      <c r="E5" s="72">
        <v>10</v>
      </c>
      <c r="F5" s="72">
        <v>12</v>
      </c>
      <c r="G5" s="72">
        <v>6</v>
      </c>
      <c r="H5" s="72">
        <v>14</v>
      </c>
      <c r="I5" s="72">
        <v>6</v>
      </c>
      <c r="J5" s="72">
        <v>6</v>
      </c>
      <c r="K5" s="72">
        <v>2</v>
      </c>
      <c r="L5" s="72">
        <v>14</v>
      </c>
      <c r="M5" s="72">
        <v>4</v>
      </c>
      <c r="N5" s="72">
        <v>6</v>
      </c>
      <c r="O5" s="72">
        <v>4</v>
      </c>
      <c r="P5" s="72">
        <v>43</v>
      </c>
      <c r="Q5" s="72">
        <v>28</v>
      </c>
      <c r="R5" s="72">
        <v>24</v>
      </c>
      <c r="S5" s="72">
        <v>13</v>
      </c>
      <c r="T5" s="72">
        <v>19</v>
      </c>
      <c r="U5" s="72">
        <v>15</v>
      </c>
      <c r="V5" s="72">
        <v>44</v>
      </c>
      <c r="W5" s="72">
        <v>42</v>
      </c>
      <c r="X5" s="72">
        <v>6</v>
      </c>
      <c r="Y5" s="72">
        <v>6</v>
      </c>
      <c r="Z5" s="72">
        <v>5</v>
      </c>
      <c r="AA5" s="72">
        <v>3</v>
      </c>
      <c r="AB5" s="72">
        <v>1</v>
      </c>
      <c r="AC5" s="73">
        <f>AH5/AK5</f>
        <v>5.996742671009772</v>
      </c>
      <c r="AD5" s="74">
        <f>AF5/D5</f>
        <v>70.23214285714286</v>
      </c>
      <c r="AE5" s="75">
        <f>AG5/D5</f>
        <v>68.17857142857143</v>
      </c>
      <c r="AF5" s="71">
        <v>1966.5</v>
      </c>
      <c r="AG5" s="72">
        <v>1909</v>
      </c>
      <c r="AH5" s="161">
        <v>1841</v>
      </c>
      <c r="AI5" s="161">
        <v>81</v>
      </c>
      <c r="AJ5" s="186">
        <v>62.5</v>
      </c>
      <c r="AK5" s="186">
        <v>307</v>
      </c>
      <c r="AL5" s="460">
        <v>70</v>
      </c>
      <c r="AM5" s="186">
        <v>62.5</v>
      </c>
      <c r="AN5" s="43">
        <v>90</v>
      </c>
      <c r="AO5" s="43">
        <v>58</v>
      </c>
      <c r="AP5" s="8"/>
      <c r="AW5" s="91" t="s">
        <v>229</v>
      </c>
      <c r="AX5" s="49">
        <v>12</v>
      </c>
      <c r="AY5" s="50" t="s">
        <v>40</v>
      </c>
      <c r="AZ5" s="53">
        <f>C69</f>
        <v>0</v>
      </c>
      <c r="BA5" s="50" t="s">
        <v>39</v>
      </c>
      <c r="BB5" s="53">
        <v>7</v>
      </c>
      <c r="BC5" s="50" t="s">
        <v>180</v>
      </c>
      <c r="BD5" s="49">
        <v>27</v>
      </c>
      <c r="BE5" s="50" t="s">
        <v>41</v>
      </c>
      <c r="BF5" s="49">
        <v>1</v>
      </c>
      <c r="BG5" s="50" t="s">
        <v>38</v>
      </c>
      <c r="BH5" s="49">
        <v>45</v>
      </c>
      <c r="BI5" s="122" t="s">
        <v>41</v>
      </c>
      <c r="BJ5" s="61">
        <f>N74</f>
        <v>5</v>
      </c>
      <c r="BK5" s="492"/>
      <c r="BL5" s="493"/>
      <c r="BM5" s="100" t="s">
        <v>44</v>
      </c>
      <c r="BN5" s="101"/>
      <c r="BO5" s="8"/>
      <c r="BQ5" s="3"/>
      <c r="BS5" s="61"/>
      <c r="BT5" s="61"/>
      <c r="BU5" s="61"/>
      <c r="BV5" s="61"/>
      <c r="BW5" s="61"/>
      <c r="BX5" s="61"/>
    </row>
    <row r="6" spans="1:76" ht="15.75" customHeight="1" thickBot="1">
      <c r="A6" s="458" t="s">
        <v>36</v>
      </c>
      <c r="B6" s="32">
        <v>38</v>
      </c>
      <c r="C6" s="32">
        <v>-18</v>
      </c>
      <c r="D6" s="32">
        <v>28</v>
      </c>
      <c r="E6" s="32">
        <v>9</v>
      </c>
      <c r="F6" s="32">
        <v>11</v>
      </c>
      <c r="G6" s="32">
        <v>8</v>
      </c>
      <c r="H6" s="32">
        <v>14</v>
      </c>
      <c r="I6" s="32">
        <v>6</v>
      </c>
      <c r="J6" s="32">
        <v>5</v>
      </c>
      <c r="K6" s="32">
        <v>3</v>
      </c>
      <c r="L6" s="32">
        <v>14</v>
      </c>
      <c r="M6" s="32">
        <v>3</v>
      </c>
      <c r="N6" s="32">
        <v>6</v>
      </c>
      <c r="O6" s="32">
        <v>5</v>
      </c>
      <c r="P6" s="32">
        <v>49</v>
      </c>
      <c r="Q6" s="32">
        <v>33</v>
      </c>
      <c r="R6" s="32">
        <v>29</v>
      </c>
      <c r="S6" s="32">
        <v>17</v>
      </c>
      <c r="T6" s="32">
        <v>20</v>
      </c>
      <c r="U6" s="32">
        <v>16</v>
      </c>
      <c r="V6" s="32">
        <v>57</v>
      </c>
      <c r="W6" s="32">
        <v>38</v>
      </c>
      <c r="X6" s="32">
        <v>9</v>
      </c>
      <c r="Y6" s="32">
        <v>7</v>
      </c>
      <c r="Z6" s="32">
        <v>9</v>
      </c>
      <c r="AA6" s="32">
        <v>7</v>
      </c>
      <c r="AB6" s="32">
        <v>1</v>
      </c>
      <c r="AC6" s="68">
        <f>AH6/AK6</f>
        <v>6.137704918032787</v>
      </c>
      <c r="AD6" s="69">
        <f>AF6/D6</f>
        <v>71.76785714285714</v>
      </c>
      <c r="AE6" s="70">
        <f>AG6/D6</f>
        <v>69.67857142857143</v>
      </c>
      <c r="AF6" s="32">
        <v>2009.5</v>
      </c>
      <c r="AG6" s="32">
        <v>1951</v>
      </c>
      <c r="AH6" s="32">
        <v>1872</v>
      </c>
      <c r="AI6" s="32">
        <v>83</v>
      </c>
      <c r="AJ6" s="39">
        <v>62</v>
      </c>
      <c r="AK6" s="39">
        <v>305</v>
      </c>
      <c r="AL6" s="490">
        <v>73</v>
      </c>
      <c r="AM6" s="182">
        <v>61</v>
      </c>
      <c r="AN6" s="43">
        <v>91.5</v>
      </c>
      <c r="AO6" s="43">
        <v>56.5</v>
      </c>
      <c r="AP6" s="8"/>
      <c r="AW6" s="190" t="s">
        <v>221</v>
      </c>
      <c r="AX6" s="192"/>
      <c r="AY6" s="194" t="s">
        <v>56</v>
      </c>
      <c r="AZ6" s="80"/>
      <c r="BA6" s="194" t="s">
        <v>57</v>
      </c>
      <c r="BB6" s="196"/>
      <c r="BC6" s="197"/>
      <c r="BD6" s="80"/>
      <c r="BE6" s="199"/>
      <c r="BF6" s="200"/>
      <c r="BG6" s="197"/>
      <c r="BH6" s="196"/>
      <c r="BI6" s="197"/>
      <c r="BJ6" s="80"/>
      <c r="BK6" s="151" t="s">
        <v>58</v>
      </c>
      <c r="BL6" s="462"/>
      <c r="BM6" s="151"/>
      <c r="BN6" s="201"/>
      <c r="BO6" s="8"/>
      <c r="BQ6" s="3"/>
      <c r="BU6" s="83"/>
      <c r="BX6" s="83"/>
    </row>
    <row r="7" spans="1:76" ht="15.75" customHeight="1">
      <c r="A7" s="451" t="s">
        <v>40</v>
      </c>
      <c r="B7" s="72">
        <v>36</v>
      </c>
      <c r="C7" s="72">
        <v>-20</v>
      </c>
      <c r="D7" s="72">
        <v>28</v>
      </c>
      <c r="E7" s="72">
        <v>9</v>
      </c>
      <c r="F7" s="72">
        <v>9</v>
      </c>
      <c r="G7" s="72">
        <v>10</v>
      </c>
      <c r="H7" s="72">
        <v>14</v>
      </c>
      <c r="I7" s="72">
        <v>6</v>
      </c>
      <c r="J7" s="72">
        <v>4</v>
      </c>
      <c r="K7" s="72">
        <v>4</v>
      </c>
      <c r="L7" s="72">
        <v>14</v>
      </c>
      <c r="M7" s="72">
        <v>3</v>
      </c>
      <c r="N7" s="72">
        <v>5</v>
      </c>
      <c r="O7" s="72">
        <v>6</v>
      </c>
      <c r="P7" s="72">
        <v>45</v>
      </c>
      <c r="Q7" s="72">
        <v>43</v>
      </c>
      <c r="R7" s="72">
        <v>27</v>
      </c>
      <c r="S7" s="72">
        <v>20</v>
      </c>
      <c r="T7" s="72">
        <v>18</v>
      </c>
      <c r="U7" s="72">
        <v>23</v>
      </c>
      <c r="V7" s="72">
        <v>45</v>
      </c>
      <c r="W7" s="72">
        <v>52</v>
      </c>
      <c r="X7" s="72">
        <v>9</v>
      </c>
      <c r="Y7" s="72">
        <v>9</v>
      </c>
      <c r="Z7" s="72">
        <v>9</v>
      </c>
      <c r="AA7" s="72">
        <v>6</v>
      </c>
      <c r="AB7" s="72">
        <v>0</v>
      </c>
      <c r="AC7" s="159">
        <f>AH7/AK7</f>
        <v>6.088235294117647</v>
      </c>
      <c r="AD7" s="74">
        <f>AF7/D7</f>
        <v>71.125</v>
      </c>
      <c r="AE7" s="75">
        <f>AG7/D7</f>
        <v>71.03571428571429</v>
      </c>
      <c r="AF7" s="71">
        <v>1991.5</v>
      </c>
      <c r="AG7" s="72">
        <v>1989</v>
      </c>
      <c r="AH7" s="161">
        <v>1863</v>
      </c>
      <c r="AI7" s="489">
        <v>86.5</v>
      </c>
      <c r="AJ7" s="189">
        <v>60</v>
      </c>
      <c r="AK7" s="43">
        <v>306</v>
      </c>
      <c r="AL7" s="491">
        <v>70</v>
      </c>
      <c r="AM7" s="161">
        <v>63.5</v>
      </c>
      <c r="AN7" s="43">
        <v>89.5</v>
      </c>
      <c r="AO7" s="43">
        <v>56</v>
      </c>
      <c r="AP7" s="8"/>
      <c r="AR7" s="166"/>
      <c r="AW7" s="91" t="s">
        <v>227</v>
      </c>
      <c r="AX7" s="49">
        <v>17</v>
      </c>
      <c r="AY7" s="50" t="s">
        <v>38</v>
      </c>
      <c r="AZ7" s="53">
        <v>3</v>
      </c>
      <c r="BA7" s="50" t="s">
        <v>37</v>
      </c>
      <c r="BB7" s="53">
        <v>6</v>
      </c>
      <c r="BC7" s="94" t="s">
        <v>178</v>
      </c>
      <c r="BD7" s="49">
        <v>27</v>
      </c>
      <c r="BE7" s="50" t="s">
        <v>42</v>
      </c>
      <c r="BF7" s="53">
        <v>2</v>
      </c>
      <c r="BG7" s="50" t="s">
        <v>40</v>
      </c>
      <c r="BH7" s="53">
        <v>41</v>
      </c>
      <c r="BI7" s="49" t="s">
        <v>40</v>
      </c>
      <c r="BJ7" s="49">
        <v>3</v>
      </c>
      <c r="BK7" s="50" t="s">
        <v>39</v>
      </c>
      <c r="BL7" s="107">
        <v>1</v>
      </c>
      <c r="BM7" s="100"/>
      <c r="BN7" s="180"/>
      <c r="BO7" s="8"/>
      <c r="BQ7" s="3"/>
      <c r="BU7" s="61"/>
      <c r="BV7" s="61"/>
      <c r="BW7" s="61"/>
      <c r="BX7" s="61"/>
    </row>
    <row r="8" spans="1:76" ht="15.75" customHeight="1">
      <c r="A8" s="452" t="s">
        <v>45</v>
      </c>
      <c r="B8" s="43">
        <v>36</v>
      </c>
      <c r="C8" s="43">
        <v>-20</v>
      </c>
      <c r="D8" s="43">
        <v>28</v>
      </c>
      <c r="E8" s="43">
        <v>11</v>
      </c>
      <c r="F8" s="43">
        <v>3</v>
      </c>
      <c r="G8" s="43">
        <v>14</v>
      </c>
      <c r="H8" s="43">
        <v>14</v>
      </c>
      <c r="I8" s="43">
        <v>7</v>
      </c>
      <c r="J8" s="43">
        <v>2</v>
      </c>
      <c r="K8" s="43">
        <v>5</v>
      </c>
      <c r="L8" s="43">
        <v>14</v>
      </c>
      <c r="M8" s="43">
        <v>4</v>
      </c>
      <c r="N8" s="43">
        <v>1</v>
      </c>
      <c r="O8" s="43">
        <v>9</v>
      </c>
      <c r="P8" s="43">
        <v>44</v>
      </c>
      <c r="Q8" s="43">
        <v>53</v>
      </c>
      <c r="R8" s="43">
        <v>22</v>
      </c>
      <c r="S8" s="43">
        <v>19</v>
      </c>
      <c r="T8" s="43">
        <v>22</v>
      </c>
      <c r="U8" s="43">
        <v>34</v>
      </c>
      <c r="V8" s="43">
        <v>49</v>
      </c>
      <c r="W8" s="43">
        <v>57</v>
      </c>
      <c r="X8" s="43">
        <v>8</v>
      </c>
      <c r="Y8" s="43">
        <v>5</v>
      </c>
      <c r="Z8" s="43">
        <v>7</v>
      </c>
      <c r="AA8" s="43">
        <v>5</v>
      </c>
      <c r="AB8" s="43">
        <v>2</v>
      </c>
      <c r="AC8" s="76">
        <f>AH8/AK8</f>
        <v>6.1185064935064934</v>
      </c>
      <c r="AD8" s="44">
        <f>AF8/D8</f>
        <v>71.07142857142857</v>
      </c>
      <c r="AE8" s="66">
        <f>AG8/D8</f>
        <v>72.14285714285714</v>
      </c>
      <c r="AF8" s="463">
        <v>1990</v>
      </c>
      <c r="AG8" s="43">
        <v>2020</v>
      </c>
      <c r="AH8" s="60">
        <v>1884.5</v>
      </c>
      <c r="AI8" s="60">
        <v>85.5</v>
      </c>
      <c r="AJ8" s="494">
        <v>57.5</v>
      </c>
      <c r="AK8" s="43">
        <v>308</v>
      </c>
      <c r="AL8" s="495">
        <v>73</v>
      </c>
      <c r="AM8" s="494">
        <v>60.5</v>
      </c>
      <c r="AN8" s="43">
        <v>93</v>
      </c>
      <c r="AO8" s="43">
        <v>55.5</v>
      </c>
      <c r="AP8" s="8" t="s">
        <v>222</v>
      </c>
      <c r="AR8" s="166"/>
      <c r="AW8" s="91" t="s">
        <v>154</v>
      </c>
      <c r="AX8" s="49">
        <v>56</v>
      </c>
      <c r="AY8" s="50" t="s">
        <v>41</v>
      </c>
      <c r="AZ8" s="53">
        <v>10</v>
      </c>
      <c r="BA8" s="50" t="s">
        <v>46</v>
      </c>
      <c r="BB8" s="53">
        <v>2</v>
      </c>
      <c r="BC8" s="50" t="s">
        <v>176</v>
      </c>
      <c r="BD8" s="49">
        <v>28</v>
      </c>
      <c r="BE8" s="50" t="s">
        <v>46</v>
      </c>
      <c r="BF8" s="53">
        <v>7</v>
      </c>
      <c r="BG8" s="50" t="s">
        <v>37</v>
      </c>
      <c r="BH8" s="53">
        <v>29</v>
      </c>
      <c r="BI8" s="50" t="s">
        <v>39</v>
      </c>
      <c r="BJ8" s="49">
        <v>9</v>
      </c>
      <c r="BK8" s="50"/>
      <c r="BL8" s="164"/>
      <c r="BM8" s="50"/>
      <c r="BN8" s="93"/>
      <c r="BQ8" s="3"/>
      <c r="BU8" s="61"/>
      <c r="BX8" s="61"/>
    </row>
    <row r="9" spans="1:76" ht="15.75" customHeight="1" thickBot="1">
      <c r="A9" s="63" t="s">
        <v>37</v>
      </c>
      <c r="B9" s="32">
        <v>36</v>
      </c>
      <c r="C9" s="32">
        <v>-20</v>
      </c>
      <c r="D9" s="32">
        <v>28</v>
      </c>
      <c r="E9" s="32">
        <v>9</v>
      </c>
      <c r="F9" s="32">
        <v>9</v>
      </c>
      <c r="G9" s="32">
        <v>10</v>
      </c>
      <c r="H9" s="32">
        <v>14</v>
      </c>
      <c r="I9" s="32">
        <v>7</v>
      </c>
      <c r="J9" s="32">
        <v>7</v>
      </c>
      <c r="K9" s="32">
        <v>0</v>
      </c>
      <c r="L9" s="32">
        <v>14</v>
      </c>
      <c r="M9" s="32">
        <v>2</v>
      </c>
      <c r="N9" s="32">
        <v>2</v>
      </c>
      <c r="O9" s="32">
        <v>10</v>
      </c>
      <c r="P9" s="32">
        <v>37</v>
      </c>
      <c r="Q9" s="32">
        <v>43</v>
      </c>
      <c r="R9" s="32">
        <v>24</v>
      </c>
      <c r="S9" s="32">
        <v>14</v>
      </c>
      <c r="T9" s="32">
        <v>13</v>
      </c>
      <c r="U9" s="32">
        <v>29</v>
      </c>
      <c r="V9" s="32">
        <v>49</v>
      </c>
      <c r="W9" s="32">
        <v>47</v>
      </c>
      <c r="X9" s="32">
        <v>7</v>
      </c>
      <c r="Y9" s="32">
        <v>5</v>
      </c>
      <c r="Z9" s="32">
        <v>10</v>
      </c>
      <c r="AA9" s="32">
        <v>7</v>
      </c>
      <c r="AB9" s="32">
        <v>0</v>
      </c>
      <c r="AC9" s="68">
        <f>AH9/AK9</f>
        <v>6.026143790849673</v>
      </c>
      <c r="AD9" s="69">
        <f>AF9/D9</f>
        <v>69.73214285714286</v>
      </c>
      <c r="AE9" s="70">
        <f>AG9/D9</f>
        <v>70.48214285714286</v>
      </c>
      <c r="AF9" s="182">
        <v>1952.5</v>
      </c>
      <c r="AG9" s="32">
        <v>1973.5</v>
      </c>
      <c r="AH9" s="182">
        <v>1844</v>
      </c>
      <c r="AI9" s="32">
        <v>78.5</v>
      </c>
      <c r="AJ9" s="31">
        <v>60</v>
      </c>
      <c r="AK9" s="39">
        <v>306</v>
      </c>
      <c r="AL9" s="32">
        <v>70</v>
      </c>
      <c r="AM9" s="182">
        <v>62</v>
      </c>
      <c r="AN9" s="43">
        <v>87</v>
      </c>
      <c r="AO9" s="43">
        <v>55.5</v>
      </c>
      <c r="AP9" s="152" t="s">
        <v>223</v>
      </c>
      <c r="AW9" s="91" t="s">
        <v>176</v>
      </c>
      <c r="AX9" s="49">
        <v>35</v>
      </c>
      <c r="AY9" s="50" t="s">
        <v>37</v>
      </c>
      <c r="AZ9" s="53">
        <f>C80</f>
        <v>10</v>
      </c>
      <c r="BA9" s="50" t="s">
        <v>38</v>
      </c>
      <c r="BB9" s="53">
        <v>3</v>
      </c>
      <c r="BC9" s="50" t="s">
        <v>154</v>
      </c>
      <c r="BD9" s="49">
        <v>28</v>
      </c>
      <c r="BE9" s="50" t="s">
        <v>37</v>
      </c>
      <c r="BF9" s="49">
        <v>6</v>
      </c>
      <c r="BG9" s="50" t="s">
        <v>46</v>
      </c>
      <c r="BH9" s="49">
        <v>33</v>
      </c>
      <c r="BI9" s="122" t="s">
        <v>37</v>
      </c>
      <c r="BJ9" s="61">
        <v>6</v>
      </c>
      <c r="BK9" s="50" t="s">
        <v>36</v>
      </c>
      <c r="BL9" s="164">
        <v>1</v>
      </c>
      <c r="BM9" s="50" t="s">
        <v>46</v>
      </c>
      <c r="BN9" s="93">
        <v>2</v>
      </c>
      <c r="BQ9" s="3"/>
      <c r="BU9" s="61"/>
      <c r="BX9" s="61"/>
    </row>
    <row r="10" spans="1:69" ht="15.75" customHeight="1">
      <c r="A10" s="456" t="s">
        <v>41</v>
      </c>
      <c r="B10" s="161">
        <v>34</v>
      </c>
      <c r="C10" s="161">
        <v>-22</v>
      </c>
      <c r="D10" s="161">
        <v>28</v>
      </c>
      <c r="E10" s="161">
        <v>9</v>
      </c>
      <c r="F10" s="161">
        <v>7</v>
      </c>
      <c r="G10" s="161">
        <v>12</v>
      </c>
      <c r="H10" s="161">
        <v>14</v>
      </c>
      <c r="I10" s="161">
        <v>3</v>
      </c>
      <c r="J10" s="161">
        <v>5</v>
      </c>
      <c r="K10" s="161">
        <v>6</v>
      </c>
      <c r="L10" s="161">
        <v>14</v>
      </c>
      <c r="M10" s="161">
        <v>6</v>
      </c>
      <c r="N10" s="161">
        <v>2</v>
      </c>
      <c r="O10" s="161">
        <v>6</v>
      </c>
      <c r="P10" s="161">
        <v>37</v>
      </c>
      <c r="Q10" s="161">
        <v>50</v>
      </c>
      <c r="R10" s="161">
        <v>19</v>
      </c>
      <c r="S10" s="161">
        <v>23</v>
      </c>
      <c r="T10" s="161">
        <v>18</v>
      </c>
      <c r="U10" s="161">
        <v>27</v>
      </c>
      <c r="V10" s="161">
        <v>50</v>
      </c>
      <c r="W10" s="161">
        <v>57</v>
      </c>
      <c r="X10" s="161">
        <v>11</v>
      </c>
      <c r="Y10" s="161">
        <v>7</v>
      </c>
      <c r="Z10" s="161">
        <v>14</v>
      </c>
      <c r="AA10" s="161">
        <v>12</v>
      </c>
      <c r="AB10" s="161">
        <v>0</v>
      </c>
      <c r="AC10" s="73">
        <f>AH10/AK10</f>
        <v>5.998366013071895</v>
      </c>
      <c r="AD10" s="74">
        <f>AF10/D10</f>
        <v>69.44642857142857</v>
      </c>
      <c r="AE10" s="75">
        <f>AG10/D10</f>
        <v>71</v>
      </c>
      <c r="AF10" s="71">
        <v>1944.5</v>
      </c>
      <c r="AG10" s="72">
        <v>1988</v>
      </c>
      <c r="AH10" s="72">
        <v>1835.5</v>
      </c>
      <c r="AI10" s="161">
        <v>83.5</v>
      </c>
      <c r="AJ10" s="189">
        <v>58</v>
      </c>
      <c r="AK10" s="161">
        <v>306</v>
      </c>
      <c r="AL10" s="161">
        <v>69.5</v>
      </c>
      <c r="AM10" s="161">
        <v>61.5</v>
      </c>
      <c r="AN10" s="43">
        <v>90</v>
      </c>
      <c r="AO10" s="45">
        <v>55</v>
      </c>
      <c r="AP10" s="8"/>
      <c r="AR10" s="166"/>
      <c r="AW10" s="91" t="s">
        <v>228</v>
      </c>
      <c r="AX10" s="49">
        <v>13</v>
      </c>
      <c r="AY10" s="50" t="s">
        <v>39</v>
      </c>
      <c r="AZ10" s="53">
        <f>C74</f>
        <v>3</v>
      </c>
      <c r="BA10" s="50" t="s">
        <v>40</v>
      </c>
      <c r="BB10" s="53">
        <v>6</v>
      </c>
      <c r="BC10" s="50" t="s">
        <v>179</v>
      </c>
      <c r="BD10" s="49">
        <v>27</v>
      </c>
      <c r="BE10" s="50" t="s">
        <v>38</v>
      </c>
      <c r="BF10" s="53">
        <v>1</v>
      </c>
      <c r="BG10" s="50" t="s">
        <v>39</v>
      </c>
      <c r="BH10" s="53">
        <v>44</v>
      </c>
      <c r="BI10" s="50" t="s">
        <v>42</v>
      </c>
      <c r="BJ10" s="49">
        <v>2</v>
      </c>
      <c r="BK10" s="50" t="s">
        <v>42</v>
      </c>
      <c r="BL10" s="107">
        <v>1</v>
      </c>
      <c r="BM10" s="119"/>
      <c r="BN10" s="101"/>
      <c r="BO10" s="8"/>
      <c r="BQ10" s="3"/>
    </row>
    <row r="11" spans="1:81" ht="15.75" customHeight="1" thickBot="1">
      <c r="A11" s="475" t="s">
        <v>38</v>
      </c>
      <c r="B11" s="32">
        <v>31</v>
      </c>
      <c r="C11" s="32">
        <v>-25</v>
      </c>
      <c r="D11" s="32">
        <v>28</v>
      </c>
      <c r="E11" s="32">
        <v>9</v>
      </c>
      <c r="F11" s="32">
        <v>4</v>
      </c>
      <c r="G11" s="32">
        <v>15</v>
      </c>
      <c r="H11" s="32">
        <v>14</v>
      </c>
      <c r="I11" s="32">
        <v>6</v>
      </c>
      <c r="J11" s="32">
        <v>2</v>
      </c>
      <c r="K11" s="32">
        <v>6</v>
      </c>
      <c r="L11" s="32">
        <v>14</v>
      </c>
      <c r="M11" s="32">
        <v>3</v>
      </c>
      <c r="N11" s="32">
        <v>2</v>
      </c>
      <c r="O11" s="32">
        <v>9</v>
      </c>
      <c r="P11" s="32">
        <v>32</v>
      </c>
      <c r="Q11" s="32">
        <v>51</v>
      </c>
      <c r="R11" s="32">
        <v>18</v>
      </c>
      <c r="S11" s="32">
        <v>21</v>
      </c>
      <c r="T11" s="32">
        <v>14</v>
      </c>
      <c r="U11" s="32">
        <v>30</v>
      </c>
      <c r="V11" s="32">
        <v>36</v>
      </c>
      <c r="W11" s="32">
        <v>53</v>
      </c>
      <c r="X11" s="32">
        <v>6</v>
      </c>
      <c r="Y11" s="32">
        <v>4</v>
      </c>
      <c r="Z11" s="32">
        <v>7</v>
      </c>
      <c r="AA11" s="32">
        <v>5</v>
      </c>
      <c r="AB11" s="32">
        <v>0</v>
      </c>
      <c r="AC11" s="68">
        <f>AH11/AK11</f>
        <v>5.9561688311688314</v>
      </c>
      <c r="AD11" s="54">
        <f>AF11/D11</f>
        <v>68.42857142857143</v>
      </c>
      <c r="AE11" s="65">
        <f>AG11/D11</f>
        <v>71.71428571428571</v>
      </c>
      <c r="AF11" s="182">
        <v>1916</v>
      </c>
      <c r="AG11" s="32">
        <v>2008</v>
      </c>
      <c r="AH11" s="182">
        <v>1834.5</v>
      </c>
      <c r="AI11" s="32">
        <v>82.5</v>
      </c>
      <c r="AJ11" s="476">
        <v>59</v>
      </c>
      <c r="AK11" s="182">
        <v>308</v>
      </c>
      <c r="AL11" s="32">
        <v>69</v>
      </c>
      <c r="AM11" s="182">
        <v>61.5</v>
      </c>
      <c r="AN11" s="46">
        <v>100.5</v>
      </c>
      <c r="AO11" s="43">
        <v>59</v>
      </c>
      <c r="AP11" s="8" t="s">
        <v>224</v>
      </c>
      <c r="AW11" s="91" t="s">
        <v>180</v>
      </c>
      <c r="AX11" s="49">
        <v>26</v>
      </c>
      <c r="AY11" s="50" t="s">
        <v>59</v>
      </c>
      <c r="AZ11" s="53">
        <v>5</v>
      </c>
      <c r="BA11" s="50" t="s">
        <v>42</v>
      </c>
      <c r="BB11" s="49">
        <v>5</v>
      </c>
      <c r="BC11" s="50" t="s">
        <v>175</v>
      </c>
      <c r="BD11" s="49">
        <v>27</v>
      </c>
      <c r="BE11" s="50" t="s">
        <v>36</v>
      </c>
      <c r="BF11" s="53">
        <v>5</v>
      </c>
      <c r="BG11" s="50" t="s">
        <v>42</v>
      </c>
      <c r="BH11" s="53">
        <v>35</v>
      </c>
      <c r="BI11" s="50" t="s">
        <v>60</v>
      </c>
      <c r="BJ11" s="49">
        <v>5</v>
      </c>
      <c r="BK11" s="50" t="s">
        <v>40</v>
      </c>
      <c r="BL11" s="164">
        <v>1</v>
      </c>
      <c r="BM11" s="50" t="s">
        <v>40</v>
      </c>
      <c r="BN11" s="93">
        <v>2</v>
      </c>
      <c r="BQ11" s="3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</row>
    <row r="12" spans="1:76" ht="12" customHeight="1" thickBot="1">
      <c r="A12" s="464" t="s">
        <v>43</v>
      </c>
      <c r="B12" s="6">
        <f aca="true" t="shared" si="0" ref="B12:AB12">SUM(B4:B11)</f>
        <v>304</v>
      </c>
      <c r="C12" s="465">
        <f t="shared" si="0"/>
        <v>-144</v>
      </c>
      <c r="D12" s="6">
        <f t="shared" si="0"/>
        <v>224</v>
      </c>
      <c r="E12" s="6">
        <f t="shared" si="0"/>
        <v>80</v>
      </c>
      <c r="F12" s="6">
        <f t="shared" si="0"/>
        <v>64</v>
      </c>
      <c r="G12" s="6">
        <f t="shared" si="0"/>
        <v>80</v>
      </c>
      <c r="H12" s="6">
        <f t="shared" si="0"/>
        <v>112</v>
      </c>
      <c r="I12" s="6">
        <f t="shared" si="0"/>
        <v>51</v>
      </c>
      <c r="J12" s="6">
        <f t="shared" si="0"/>
        <v>32</v>
      </c>
      <c r="K12" s="6">
        <f t="shared" si="0"/>
        <v>29</v>
      </c>
      <c r="L12" s="6">
        <f t="shared" si="0"/>
        <v>112</v>
      </c>
      <c r="M12" s="6">
        <f t="shared" si="0"/>
        <v>29</v>
      </c>
      <c r="N12" s="6">
        <f t="shared" si="0"/>
        <v>32</v>
      </c>
      <c r="O12" s="6">
        <f t="shared" si="0"/>
        <v>51</v>
      </c>
      <c r="P12" s="67">
        <f t="shared" si="0"/>
        <v>333</v>
      </c>
      <c r="Q12" s="67">
        <f t="shared" si="0"/>
        <v>333</v>
      </c>
      <c r="R12" s="67">
        <f t="shared" si="0"/>
        <v>192</v>
      </c>
      <c r="S12" s="6">
        <f t="shared" si="0"/>
        <v>141</v>
      </c>
      <c r="T12" s="6">
        <f t="shared" si="0"/>
        <v>141</v>
      </c>
      <c r="U12" s="67">
        <f t="shared" si="0"/>
        <v>192</v>
      </c>
      <c r="V12" s="6">
        <f t="shared" si="0"/>
        <v>382</v>
      </c>
      <c r="W12" s="6">
        <f t="shared" si="0"/>
        <v>382</v>
      </c>
      <c r="X12" s="6">
        <f t="shared" si="0"/>
        <v>64</v>
      </c>
      <c r="Y12" s="6">
        <f t="shared" si="0"/>
        <v>48</v>
      </c>
      <c r="Z12" s="6">
        <f t="shared" si="0"/>
        <v>64</v>
      </c>
      <c r="AA12" s="6">
        <f t="shared" si="0"/>
        <v>48</v>
      </c>
      <c r="AB12" s="6">
        <f t="shared" si="0"/>
        <v>5</v>
      </c>
      <c r="AC12" s="62">
        <f>SUM(AC4:AC11)/8</f>
        <v>6.046929930041066</v>
      </c>
      <c r="AD12" s="7">
        <f>AF12/D12</f>
        <v>70.33705357142857</v>
      </c>
      <c r="AE12" s="7">
        <f>AG12/D12</f>
        <v>70.33705357142857</v>
      </c>
      <c r="AF12" s="77">
        <f>SUM(AF4:AF11)</f>
        <v>15755.5</v>
      </c>
      <c r="AG12" s="77">
        <f>SUM(AG4:AG11)</f>
        <v>15755.5</v>
      </c>
      <c r="AH12" s="8">
        <f>SUM(AH4:AH11)</f>
        <v>14839</v>
      </c>
      <c r="AI12" s="8"/>
      <c r="AJ12" s="8"/>
      <c r="AK12" s="8">
        <f>SUM(AK4:AK11)</f>
        <v>2454</v>
      </c>
      <c r="AL12" s="8"/>
      <c r="AM12" s="8"/>
      <c r="AN12" s="9"/>
      <c r="AO12" s="9"/>
      <c r="AP12" s="8"/>
      <c r="AW12" s="95" t="s">
        <v>230</v>
      </c>
      <c r="AX12" s="98">
        <v>11</v>
      </c>
      <c r="AY12" s="97" t="s">
        <v>46</v>
      </c>
      <c r="AZ12" s="98">
        <f>C78</f>
        <v>2</v>
      </c>
      <c r="BA12" s="97" t="s">
        <v>41</v>
      </c>
      <c r="BB12" s="98">
        <v>7</v>
      </c>
      <c r="BC12" s="97" t="s">
        <v>181</v>
      </c>
      <c r="BD12" s="96">
        <v>27</v>
      </c>
      <c r="BE12" s="97" t="s">
        <v>40</v>
      </c>
      <c r="BF12" s="98">
        <f>AD77</f>
        <v>1</v>
      </c>
      <c r="BG12" s="97" t="s">
        <v>36</v>
      </c>
      <c r="BH12" s="98">
        <v>46</v>
      </c>
      <c r="BI12" s="169" t="s">
        <v>38</v>
      </c>
      <c r="BJ12" s="104">
        <v>0</v>
      </c>
      <c r="BK12" s="165"/>
      <c r="BL12" s="104"/>
      <c r="BM12" s="105"/>
      <c r="BN12" s="162"/>
      <c r="BO12" s="8"/>
      <c r="BQ12" s="3"/>
      <c r="BS12" s="61"/>
      <c r="BT12" s="61"/>
      <c r="BU12" s="61"/>
      <c r="BV12" s="61"/>
      <c r="BW12" s="61"/>
      <c r="BX12" s="61"/>
    </row>
    <row r="13" spans="1:76" ht="12" customHeight="1" thickBot="1">
      <c r="A13" s="8"/>
      <c r="B13" s="8"/>
      <c r="C13" s="209" t="s">
        <v>435</v>
      </c>
      <c r="D13" s="466"/>
      <c r="E13" s="15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10" t="s">
        <v>231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>
        <f>11*8*D11-AK12</f>
        <v>10</v>
      </c>
      <c r="AL13" s="8"/>
      <c r="AM13" s="8"/>
      <c r="AN13" s="9"/>
      <c r="AO13" s="166"/>
      <c r="AQ13" s="4"/>
      <c r="AW13" s="49"/>
      <c r="AX13" s="49"/>
      <c r="AY13" s="49"/>
      <c r="AZ13" s="49"/>
      <c r="BA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R13" s="61"/>
      <c r="BS13" s="61"/>
      <c r="BT13" s="61"/>
      <c r="BU13" s="61"/>
      <c r="BV13" s="61"/>
      <c r="BW13" s="61"/>
      <c r="BX13" s="61"/>
    </row>
    <row r="14" spans="1:76" ht="12" customHeight="1" thickBot="1" thickTop="1">
      <c r="A14" s="467" t="s">
        <v>436</v>
      </c>
      <c r="B14" s="199"/>
      <c r="C14" s="468" t="s">
        <v>437</v>
      </c>
      <c r="D14" s="17"/>
      <c r="E14" s="18"/>
      <c r="F14" s="19"/>
      <c r="G14" s="468" t="s">
        <v>438</v>
      </c>
      <c r="H14" s="17"/>
      <c r="I14" s="18"/>
      <c r="J14" s="18"/>
      <c r="K14" s="457"/>
      <c r="L14" s="19"/>
      <c r="M14" s="211" t="s">
        <v>232</v>
      </c>
      <c r="N14" s="18"/>
      <c r="O14" s="18"/>
      <c r="P14" s="18"/>
      <c r="Q14" s="18"/>
      <c r="R14" s="19"/>
      <c r="S14" s="211" t="s">
        <v>233</v>
      </c>
      <c r="T14" s="18"/>
      <c r="U14" s="18"/>
      <c r="V14" s="212"/>
      <c r="W14" s="8"/>
      <c r="X14" s="213"/>
      <c r="Y14" s="213" t="s">
        <v>234</v>
      </c>
      <c r="Z14" s="213"/>
      <c r="AA14" s="213"/>
      <c r="AB14" s="213"/>
      <c r="AC14" s="206"/>
      <c r="AD14" s="213" t="s">
        <v>235</v>
      </c>
      <c r="AE14" s="206"/>
      <c r="AF14" s="8"/>
      <c r="AG14" s="8"/>
      <c r="AH14" s="8"/>
      <c r="AI14" s="8"/>
      <c r="AJ14" s="8"/>
      <c r="AK14" s="8"/>
      <c r="AL14" s="8"/>
      <c r="AM14" s="8"/>
      <c r="AN14" s="9"/>
      <c r="AO14" s="166"/>
      <c r="AQ14" s="4"/>
      <c r="AW14" s="49"/>
      <c r="AX14" s="49"/>
      <c r="AZ14" s="61"/>
      <c r="BA14" s="3"/>
      <c r="BC14" s="3"/>
      <c r="BD14" s="61"/>
      <c r="BE14" s="3"/>
      <c r="BF14" s="61"/>
      <c r="BG14" s="3"/>
      <c r="BH14" s="61"/>
      <c r="BI14" s="3"/>
      <c r="BJ14" s="61"/>
      <c r="BK14" s="3"/>
      <c r="BL14" s="61"/>
      <c r="BM14" s="3"/>
      <c r="BN14" s="61"/>
      <c r="BO14" s="49"/>
      <c r="BR14" s="61"/>
      <c r="BS14" s="61"/>
      <c r="BT14" s="61"/>
      <c r="BU14" s="61"/>
      <c r="BV14" s="61"/>
      <c r="BW14" s="61"/>
      <c r="BX14" s="61"/>
    </row>
    <row r="15" spans="1:76" ht="12" customHeight="1" thickBot="1" thickTop="1">
      <c r="A15" s="8"/>
      <c r="B15" s="8"/>
      <c r="C15" s="469" t="s">
        <v>445</v>
      </c>
      <c r="D15" s="217"/>
      <c r="E15" s="217"/>
      <c r="F15" s="470">
        <v>6.36</v>
      </c>
      <c r="G15" s="215" t="s">
        <v>446</v>
      </c>
      <c r="H15" s="217"/>
      <c r="I15" s="217"/>
      <c r="J15" s="217"/>
      <c r="K15" s="224">
        <v>6.38</v>
      </c>
      <c r="L15" s="471"/>
      <c r="M15" s="215" t="s">
        <v>447</v>
      </c>
      <c r="N15" s="217"/>
      <c r="O15" s="217"/>
      <c r="P15" s="217"/>
      <c r="Q15" s="224">
        <v>6.48</v>
      </c>
      <c r="R15" s="48"/>
      <c r="S15" s="215" t="s">
        <v>448</v>
      </c>
      <c r="T15" s="217"/>
      <c r="U15" s="217"/>
      <c r="V15" s="454">
        <v>6.47</v>
      </c>
      <c r="W15" s="200"/>
      <c r="X15" s="216" t="s">
        <v>449</v>
      </c>
      <c r="Y15" s="217"/>
      <c r="Z15" s="217"/>
      <c r="AA15" s="217">
        <v>15</v>
      </c>
      <c r="AB15" s="218">
        <f>AA15/28</f>
        <v>0.5357142857142857</v>
      </c>
      <c r="AC15" s="199" t="s">
        <v>40</v>
      </c>
      <c r="AD15" s="8"/>
      <c r="AE15" s="219">
        <v>15</v>
      </c>
      <c r="AF15" s="199"/>
      <c r="AG15" s="8"/>
      <c r="AI15" s="8"/>
      <c r="AJ15" s="8"/>
      <c r="AK15" s="8"/>
      <c r="AL15" s="8"/>
      <c r="AM15" s="8"/>
      <c r="AN15" s="9"/>
      <c r="AO15" s="166"/>
      <c r="AQ15" s="4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R15" s="61"/>
      <c r="BS15" s="61"/>
      <c r="BT15" s="61"/>
      <c r="BU15" s="61"/>
      <c r="BV15" s="61"/>
      <c r="BW15" s="61"/>
      <c r="BX15" s="61"/>
    </row>
    <row r="16" spans="1:76" ht="12" customHeight="1">
      <c r="A16" s="472" t="s">
        <v>439</v>
      </c>
      <c r="B16" s="8"/>
      <c r="C16" s="215" t="s">
        <v>450</v>
      </c>
      <c r="D16" s="217"/>
      <c r="E16" s="217"/>
      <c r="F16" s="470">
        <v>6.34</v>
      </c>
      <c r="G16" s="215" t="s">
        <v>451</v>
      </c>
      <c r="H16" s="217"/>
      <c r="I16" s="217"/>
      <c r="J16" s="217"/>
      <c r="K16" s="224">
        <v>6.31</v>
      </c>
      <c r="L16" s="473"/>
      <c r="M16" s="215" t="s">
        <v>452</v>
      </c>
      <c r="N16" s="217"/>
      <c r="O16" s="217"/>
      <c r="P16" s="217"/>
      <c r="Q16" s="224">
        <v>6.44</v>
      </c>
      <c r="R16" s="48"/>
      <c r="S16" s="215" t="s">
        <v>453</v>
      </c>
      <c r="T16" s="217"/>
      <c r="U16" s="217"/>
      <c r="V16" s="454">
        <v>6.45</v>
      </c>
      <c r="W16" s="200"/>
      <c r="X16" s="217" t="s">
        <v>454</v>
      </c>
      <c r="Y16" s="217"/>
      <c r="Z16" s="217"/>
      <c r="AA16" s="217">
        <v>17</v>
      </c>
      <c r="AB16" s="218">
        <f>AA16/22</f>
        <v>0.7727272727272727</v>
      </c>
      <c r="AC16" s="199" t="s">
        <v>42</v>
      </c>
      <c r="AD16" s="8"/>
      <c r="AE16" s="219">
        <v>20</v>
      </c>
      <c r="AF16" s="199"/>
      <c r="AG16" s="8"/>
      <c r="AI16" s="8"/>
      <c r="AJ16" s="8"/>
      <c r="AK16" s="8"/>
      <c r="AL16" s="8"/>
      <c r="AM16" s="8"/>
      <c r="AN16" s="9"/>
      <c r="AO16" s="79"/>
      <c r="AP16" s="79"/>
      <c r="AQ16" s="4"/>
      <c r="AR16" s="79"/>
      <c r="AW16" s="221" t="s">
        <v>236</v>
      </c>
      <c r="AX16" s="222"/>
      <c r="AY16" s="86" t="s">
        <v>237</v>
      </c>
      <c r="AZ16" s="222"/>
      <c r="BA16" s="14"/>
      <c r="BB16" s="14"/>
      <c r="BC16" s="209" t="s">
        <v>238</v>
      </c>
      <c r="BD16" s="87"/>
      <c r="BE16" s="86" t="s">
        <v>239</v>
      </c>
      <c r="BF16" s="87"/>
      <c r="BG16" s="88" t="s">
        <v>53</v>
      </c>
      <c r="BH16" s="87"/>
      <c r="BI16" s="88" t="s">
        <v>54</v>
      </c>
      <c r="BJ16" s="87"/>
      <c r="BK16" s="86" t="s">
        <v>62</v>
      </c>
      <c r="BL16" s="87"/>
      <c r="BM16" s="86" t="s">
        <v>63</v>
      </c>
      <c r="BN16" s="223"/>
      <c r="BQ16" s="3"/>
      <c r="BX16" s="99"/>
    </row>
    <row r="17" spans="1:76" ht="12" customHeight="1" thickBot="1">
      <c r="A17" s="474" t="s">
        <v>440</v>
      </c>
      <c r="B17" s="8"/>
      <c r="C17" s="215" t="s">
        <v>455</v>
      </c>
      <c r="D17" s="217"/>
      <c r="E17" s="217"/>
      <c r="F17" s="470">
        <v>6.21</v>
      </c>
      <c r="G17" s="215" t="s">
        <v>456</v>
      </c>
      <c r="H17" s="217"/>
      <c r="I17" s="217"/>
      <c r="J17" s="217"/>
      <c r="K17" s="224">
        <v>6.24</v>
      </c>
      <c r="L17" s="473"/>
      <c r="M17" s="217" t="s">
        <v>457</v>
      </c>
      <c r="N17" s="217"/>
      <c r="O17" s="217"/>
      <c r="P17" s="217"/>
      <c r="Q17" s="224">
        <v>6.37</v>
      </c>
      <c r="R17" s="48"/>
      <c r="S17" s="215" t="s">
        <v>458</v>
      </c>
      <c r="T17" s="217"/>
      <c r="U17" s="217"/>
      <c r="V17" s="454">
        <v>6.43</v>
      </c>
      <c r="W17" s="200"/>
      <c r="X17" s="217" t="s">
        <v>459</v>
      </c>
      <c r="Y17" s="217"/>
      <c r="Z17" s="217"/>
      <c r="AA17" s="217">
        <v>14</v>
      </c>
      <c r="AB17" s="218">
        <f>AA17/17</f>
        <v>0.8235294117647058</v>
      </c>
      <c r="AC17" s="199" t="s">
        <v>38</v>
      </c>
      <c r="AD17" s="8"/>
      <c r="AE17" s="219">
        <v>22</v>
      </c>
      <c r="AF17" s="199"/>
      <c r="AG17" s="8"/>
      <c r="AI17" s="8"/>
      <c r="AJ17" s="8"/>
      <c r="AK17" s="8"/>
      <c r="AL17" s="8"/>
      <c r="AM17" s="8"/>
      <c r="AN17" s="9"/>
      <c r="AO17" s="166"/>
      <c r="AQ17" s="4"/>
      <c r="AW17" s="225" t="s">
        <v>240</v>
      </c>
      <c r="AX17" s="226"/>
      <c r="AY17" s="95"/>
      <c r="AZ17" s="226"/>
      <c r="BA17" s="8"/>
      <c r="BB17" s="8"/>
      <c r="BC17" s="227"/>
      <c r="BD17" s="203"/>
      <c r="BE17" s="204" t="s">
        <v>241</v>
      </c>
      <c r="BF17" s="203"/>
      <c r="BG17" s="204"/>
      <c r="BH17" s="203"/>
      <c r="BI17" s="204"/>
      <c r="BJ17" s="203"/>
      <c r="BK17" s="204" t="s">
        <v>3</v>
      </c>
      <c r="BL17" s="203"/>
      <c r="BM17" s="204" t="s">
        <v>4</v>
      </c>
      <c r="BN17" s="228"/>
      <c r="BO17" s="83"/>
      <c r="BQ17" s="3"/>
      <c r="BX17" s="83"/>
    </row>
    <row r="18" spans="1:76" ht="12" customHeight="1">
      <c r="A18" s="477" t="s">
        <v>441</v>
      </c>
      <c r="B18" s="8"/>
      <c r="C18" s="449" t="s">
        <v>460</v>
      </c>
      <c r="D18" s="79"/>
      <c r="E18" s="79"/>
      <c r="F18" s="470">
        <v>6.17</v>
      </c>
      <c r="G18" s="215" t="s">
        <v>461</v>
      </c>
      <c r="H18" s="217"/>
      <c r="I18" s="217"/>
      <c r="J18" s="217"/>
      <c r="K18" s="224">
        <v>6.19</v>
      </c>
      <c r="L18" s="473"/>
      <c r="M18" s="217" t="s">
        <v>462</v>
      </c>
      <c r="N18" s="217"/>
      <c r="O18" s="217"/>
      <c r="P18" s="217"/>
      <c r="Q18" s="224">
        <v>6.31</v>
      </c>
      <c r="R18" s="48"/>
      <c r="S18" s="215" t="s">
        <v>463</v>
      </c>
      <c r="T18" s="217"/>
      <c r="U18" s="217"/>
      <c r="V18" s="454">
        <v>6.38</v>
      </c>
      <c r="W18" s="200"/>
      <c r="X18" s="217" t="s">
        <v>464</v>
      </c>
      <c r="Y18" s="217"/>
      <c r="Z18" s="217"/>
      <c r="AA18" s="217">
        <v>21</v>
      </c>
      <c r="AB18" s="218">
        <f>AA18/25</f>
        <v>0.84</v>
      </c>
      <c r="AC18" s="199" t="s">
        <v>39</v>
      </c>
      <c r="AD18" s="8"/>
      <c r="AE18" s="219">
        <v>23</v>
      </c>
      <c r="AF18" s="199"/>
      <c r="AG18" s="8"/>
      <c r="AI18" s="8"/>
      <c r="AJ18" s="8"/>
      <c r="AK18" s="8"/>
      <c r="AL18" s="8"/>
      <c r="AM18" s="8"/>
      <c r="AN18" s="8"/>
      <c r="AO18" s="166"/>
      <c r="AQ18" s="4"/>
      <c r="AW18" s="91" t="s">
        <v>38</v>
      </c>
      <c r="AX18" s="49">
        <v>13</v>
      </c>
      <c r="AY18" s="50" t="s">
        <v>38</v>
      </c>
      <c r="AZ18" s="49">
        <v>2</v>
      </c>
      <c r="BA18" s="229" t="s">
        <v>242</v>
      </c>
      <c r="BB18" s="230"/>
      <c r="BC18" s="49" t="s">
        <v>36</v>
      </c>
      <c r="BD18" s="49">
        <f>D74</f>
        <v>55</v>
      </c>
      <c r="BE18" s="50" t="s">
        <v>39</v>
      </c>
      <c r="BF18" s="49">
        <f>F78</f>
        <v>60</v>
      </c>
      <c r="BG18" s="50" t="s">
        <v>38</v>
      </c>
      <c r="BH18" s="49">
        <f>S77</f>
        <v>520</v>
      </c>
      <c r="BI18" s="50" t="s">
        <v>38</v>
      </c>
      <c r="BJ18" s="49">
        <f>T77</f>
        <v>38</v>
      </c>
      <c r="BK18" s="50" t="s">
        <v>39</v>
      </c>
      <c r="BL18" s="49">
        <f>K56</f>
        <v>53</v>
      </c>
      <c r="BM18" s="50" t="s">
        <v>39</v>
      </c>
      <c r="BN18" s="231">
        <f>M56</f>
        <v>73</v>
      </c>
      <c r="BO18" s="83"/>
      <c r="BQ18" s="3"/>
      <c r="BS18" s="100"/>
      <c r="BT18" s="101"/>
      <c r="BX18" s="83"/>
    </row>
    <row r="19" spans="1:76" ht="12" customHeight="1">
      <c r="A19" s="478"/>
      <c r="B19" s="8"/>
      <c r="C19" s="215" t="s">
        <v>465</v>
      </c>
      <c r="D19" s="217"/>
      <c r="E19" s="217"/>
      <c r="F19" s="470">
        <v>6.14</v>
      </c>
      <c r="G19" s="215" t="s">
        <v>466</v>
      </c>
      <c r="H19" s="217"/>
      <c r="I19" s="217"/>
      <c r="J19" s="217"/>
      <c r="K19" s="224">
        <v>6.19</v>
      </c>
      <c r="L19" s="473"/>
      <c r="M19" s="479" t="s">
        <v>467</v>
      </c>
      <c r="N19" s="217"/>
      <c r="O19" s="217"/>
      <c r="P19" s="217"/>
      <c r="Q19" s="224">
        <v>6.29</v>
      </c>
      <c r="R19" s="48"/>
      <c r="S19" s="215" t="s">
        <v>468</v>
      </c>
      <c r="T19" s="217"/>
      <c r="U19" s="217"/>
      <c r="V19" s="454">
        <v>6.37</v>
      </c>
      <c r="W19" s="200"/>
      <c r="X19" s="216" t="s">
        <v>469</v>
      </c>
      <c r="Y19" s="217"/>
      <c r="Z19" s="217"/>
      <c r="AA19" s="217">
        <v>14</v>
      </c>
      <c r="AB19" s="218">
        <f>AA19/16</f>
        <v>0.875</v>
      </c>
      <c r="AC19" s="199" t="s">
        <v>41</v>
      </c>
      <c r="AD19" s="8"/>
      <c r="AE19" s="219">
        <v>30</v>
      </c>
      <c r="AF19" s="199"/>
      <c r="AG19" s="8"/>
      <c r="AI19" s="8"/>
      <c r="AJ19" s="8"/>
      <c r="AK19" s="8"/>
      <c r="AL19" s="8"/>
      <c r="AM19" s="8"/>
      <c r="AN19" s="8"/>
      <c r="AO19" s="166"/>
      <c r="AQ19" s="4"/>
      <c r="AW19" s="91" t="s">
        <v>46</v>
      </c>
      <c r="AX19" s="49">
        <v>10</v>
      </c>
      <c r="AY19" s="50" t="s">
        <v>42</v>
      </c>
      <c r="AZ19" s="49">
        <v>2</v>
      </c>
      <c r="BA19" s="232" t="s">
        <v>243</v>
      </c>
      <c r="BB19" s="233"/>
      <c r="BC19" s="91" t="s">
        <v>38</v>
      </c>
      <c r="BD19" s="49">
        <f>D77</f>
        <v>54</v>
      </c>
      <c r="BE19" s="50" t="s">
        <v>38</v>
      </c>
      <c r="BF19" s="49">
        <f>F77</f>
        <v>62</v>
      </c>
      <c r="BG19" s="50" t="s">
        <v>41</v>
      </c>
      <c r="BH19" s="49">
        <f>S80</f>
        <v>526</v>
      </c>
      <c r="BI19" s="50" t="s">
        <v>41</v>
      </c>
      <c r="BJ19" s="49">
        <f>T80</f>
        <v>50</v>
      </c>
      <c r="BK19" s="50" t="s">
        <v>36</v>
      </c>
      <c r="BL19" s="49">
        <f>K55</f>
        <v>55</v>
      </c>
      <c r="BM19" s="50" t="s">
        <v>36</v>
      </c>
      <c r="BN19" s="234">
        <f>M55</f>
        <v>66</v>
      </c>
      <c r="BQ19" s="3"/>
      <c r="BX19" s="61"/>
    </row>
    <row r="20" spans="1:76" ht="12" customHeight="1" thickBot="1">
      <c r="A20" s="478">
        <v>333</v>
      </c>
      <c r="B20" s="8"/>
      <c r="C20" s="480" t="s">
        <v>470</v>
      </c>
      <c r="D20" s="481"/>
      <c r="E20" s="481"/>
      <c r="F20" s="482">
        <v>6.07</v>
      </c>
      <c r="G20" s="238" t="s">
        <v>471</v>
      </c>
      <c r="H20" s="236"/>
      <c r="I20" s="236"/>
      <c r="J20" s="236"/>
      <c r="K20" s="450">
        <v>6.14</v>
      </c>
      <c r="L20" s="483"/>
      <c r="M20" s="484" t="s">
        <v>472</v>
      </c>
      <c r="N20" s="236"/>
      <c r="O20" s="236"/>
      <c r="P20" s="236"/>
      <c r="Q20" s="450">
        <v>6.28</v>
      </c>
      <c r="R20" s="237"/>
      <c r="S20" s="480" t="s">
        <v>473</v>
      </c>
      <c r="T20" s="481"/>
      <c r="U20" s="481"/>
      <c r="V20" s="455">
        <v>6.36</v>
      </c>
      <c r="W20" s="30"/>
      <c r="X20" s="217" t="s">
        <v>474</v>
      </c>
      <c r="Y20" s="217"/>
      <c r="Z20" s="217"/>
      <c r="AA20" s="217">
        <v>29</v>
      </c>
      <c r="AB20" s="218">
        <f>AA20/23</f>
        <v>1.2608695652173914</v>
      </c>
      <c r="AC20" s="199" t="s">
        <v>46</v>
      </c>
      <c r="AD20" s="8"/>
      <c r="AE20" s="219">
        <v>34</v>
      </c>
      <c r="AF20" s="199"/>
      <c r="AG20" s="8"/>
      <c r="AI20" s="8"/>
      <c r="AJ20" s="8"/>
      <c r="AK20" s="8"/>
      <c r="AL20" s="8"/>
      <c r="AM20" s="8"/>
      <c r="AN20" s="9"/>
      <c r="AO20" s="166"/>
      <c r="AQ20" s="4"/>
      <c r="AW20" s="91" t="s">
        <v>37</v>
      </c>
      <c r="AX20" s="49">
        <v>3</v>
      </c>
      <c r="AY20" s="50" t="s">
        <v>41</v>
      </c>
      <c r="AZ20" s="49">
        <v>2</v>
      </c>
      <c r="BA20" s="239" t="s">
        <v>244</v>
      </c>
      <c r="BB20" s="240"/>
      <c r="BC20" s="49" t="s">
        <v>40</v>
      </c>
      <c r="BD20" s="49">
        <f>'[1]CLASSIFICA'!D79</f>
        <v>53</v>
      </c>
      <c r="BE20" s="50" t="s">
        <v>41</v>
      </c>
      <c r="BF20" s="49">
        <f>F80</f>
        <v>74</v>
      </c>
      <c r="BG20" s="50" t="s">
        <v>42</v>
      </c>
      <c r="BH20" s="49">
        <f>S81</f>
        <v>537</v>
      </c>
      <c r="BI20" s="50" t="s">
        <v>40</v>
      </c>
      <c r="BJ20" s="49">
        <f>T79</f>
        <v>52</v>
      </c>
      <c r="BK20" s="50" t="s">
        <v>189</v>
      </c>
      <c r="BL20" s="49">
        <f>K59</f>
        <v>60</v>
      </c>
      <c r="BM20" s="50" t="s">
        <v>38</v>
      </c>
      <c r="BN20" s="234">
        <f>M57</f>
        <v>64</v>
      </c>
      <c r="BQ20" s="3"/>
      <c r="BX20" s="61"/>
    </row>
    <row r="21" spans="1:76" ht="12" customHeight="1">
      <c r="A21" s="485" t="s">
        <v>442</v>
      </c>
      <c r="B21" s="8"/>
      <c r="C21" s="486" t="s">
        <v>443</v>
      </c>
      <c r="D21" s="206"/>
      <c r="E21" s="206"/>
      <c r="F21" s="206"/>
      <c r="G21" s="51"/>
      <c r="H21" s="197" t="s">
        <v>432</v>
      </c>
      <c r="I21" s="8"/>
      <c r="J21" s="8"/>
      <c r="K21" s="8"/>
      <c r="L21" s="200"/>
      <c r="M21" s="204" t="s">
        <v>245</v>
      </c>
      <c r="N21" s="206"/>
      <c r="O21" s="206"/>
      <c r="P21" s="206"/>
      <c r="Q21" s="51"/>
      <c r="R21" s="241" t="s">
        <v>246</v>
      </c>
      <c r="S21" s="8"/>
      <c r="T21" s="8"/>
      <c r="U21" s="200"/>
      <c r="V21" s="242" t="s">
        <v>247</v>
      </c>
      <c r="W21" s="15"/>
      <c r="X21" s="129" t="s">
        <v>475</v>
      </c>
      <c r="AA21" s="217">
        <v>12</v>
      </c>
      <c r="AB21" s="218">
        <f>AA21/8</f>
        <v>1.5</v>
      </c>
      <c r="AC21" s="216" t="s">
        <v>36</v>
      </c>
      <c r="AD21" s="8"/>
      <c r="AE21" s="219">
        <v>35</v>
      </c>
      <c r="AF21" s="199"/>
      <c r="AG21" s="8"/>
      <c r="AI21" s="8"/>
      <c r="AJ21" s="8"/>
      <c r="AK21" s="8"/>
      <c r="AL21" s="8"/>
      <c r="AM21" s="8"/>
      <c r="AN21" s="9"/>
      <c r="AO21" s="166"/>
      <c r="AQ21" s="4"/>
      <c r="AW21" s="243" t="s">
        <v>39</v>
      </c>
      <c r="AX21" s="49">
        <v>1</v>
      </c>
      <c r="AY21" s="50" t="s">
        <v>46</v>
      </c>
      <c r="AZ21" s="49">
        <v>1</v>
      </c>
      <c r="BA21" s="91"/>
      <c r="BB21" s="48"/>
      <c r="BC21" s="49" t="s">
        <v>42</v>
      </c>
      <c r="BD21" s="49">
        <f>D81</f>
        <v>52</v>
      </c>
      <c r="BE21" s="50" t="s">
        <v>37</v>
      </c>
      <c r="BF21" s="49">
        <f>F76</f>
        <v>75</v>
      </c>
      <c r="BG21" s="50" t="s">
        <v>46</v>
      </c>
      <c r="BH21" s="49">
        <f>S75</f>
        <v>544</v>
      </c>
      <c r="BI21" s="50" t="s">
        <v>46</v>
      </c>
      <c r="BJ21" s="49">
        <f>T75</f>
        <v>53</v>
      </c>
      <c r="BK21" s="50" t="s">
        <v>38</v>
      </c>
      <c r="BL21" s="49">
        <f>K57</f>
        <v>58</v>
      </c>
      <c r="BM21" s="50" t="s">
        <v>42</v>
      </c>
      <c r="BN21" s="234">
        <f>M58</f>
        <v>57</v>
      </c>
      <c r="BQ21" s="3"/>
      <c r="BX21" s="61"/>
    </row>
    <row r="22" spans="1:76" ht="12" customHeight="1" thickBot="1">
      <c r="A22" s="487"/>
      <c r="B22" s="8"/>
      <c r="C22" s="215" t="s">
        <v>476</v>
      </c>
      <c r="D22" s="8"/>
      <c r="E22" s="8"/>
      <c r="F22" s="8"/>
      <c r="G22" s="219">
        <v>3</v>
      </c>
      <c r="H22" s="204" t="s">
        <v>477</v>
      </c>
      <c r="I22" s="206"/>
      <c r="J22" s="206"/>
      <c r="K22" s="206"/>
      <c r="L22" s="51"/>
      <c r="M22" s="199" t="s">
        <v>248</v>
      </c>
      <c r="N22" s="52"/>
      <c r="O22" s="52"/>
      <c r="P22" s="52"/>
      <c r="Q22" s="244">
        <v>149</v>
      </c>
      <c r="R22" s="245" t="s">
        <v>249</v>
      </c>
      <c r="S22" s="206"/>
      <c r="T22" s="8"/>
      <c r="U22" s="200"/>
      <c r="V22" s="246" t="s">
        <v>250</v>
      </c>
      <c r="W22" s="247"/>
      <c r="X22" s="217" t="s">
        <v>478</v>
      </c>
      <c r="Y22" s="217"/>
      <c r="Z22" s="217"/>
      <c r="AA22" s="217">
        <v>25</v>
      </c>
      <c r="AB22" s="218">
        <f>AA22/15</f>
        <v>1.6666666666666667</v>
      </c>
      <c r="AC22" s="199" t="s">
        <v>37</v>
      </c>
      <c r="AD22" s="8"/>
      <c r="AE22" s="219">
        <v>42</v>
      </c>
      <c r="AF22" s="248">
        <f>SUM(AE15:AE22)</f>
        <v>221</v>
      </c>
      <c r="AG22" s="8"/>
      <c r="AI22" s="8"/>
      <c r="AJ22" s="8"/>
      <c r="AK22" s="8"/>
      <c r="AL22" s="8"/>
      <c r="AM22" s="8"/>
      <c r="AN22" s="9"/>
      <c r="AO22" s="166"/>
      <c r="AQ22" s="4"/>
      <c r="AW22" s="243" t="s">
        <v>40</v>
      </c>
      <c r="AX22" s="49">
        <v>1</v>
      </c>
      <c r="AY22" s="50" t="s">
        <v>36</v>
      </c>
      <c r="AZ22" s="49">
        <v>1</v>
      </c>
      <c r="BA22" s="214"/>
      <c r="BB22" s="48"/>
      <c r="BC22" s="91" t="s">
        <v>41</v>
      </c>
      <c r="BD22" s="49">
        <f>D80</f>
        <v>45</v>
      </c>
      <c r="BE22" s="50" t="s">
        <v>46</v>
      </c>
      <c r="BF22" s="49">
        <f>F75</f>
        <v>75</v>
      </c>
      <c r="BG22" s="50" t="s">
        <v>39</v>
      </c>
      <c r="BH22" s="49">
        <f>'[1]CLASSIFICA'!S78</f>
        <v>546</v>
      </c>
      <c r="BI22" s="50" t="s">
        <v>60</v>
      </c>
      <c r="BJ22" s="49">
        <f>'[1]CLASSIFICA'!T74</f>
        <v>54</v>
      </c>
      <c r="BK22" s="50" t="s">
        <v>40</v>
      </c>
      <c r="BL22" s="49">
        <f>K61</f>
        <v>55</v>
      </c>
      <c r="BM22" s="50" t="s">
        <v>46</v>
      </c>
      <c r="BN22" s="234">
        <f>M60</f>
        <v>58</v>
      </c>
      <c r="BQ22" s="3"/>
      <c r="BX22" s="61"/>
    </row>
    <row r="23" spans="1:76" ht="12" customHeight="1">
      <c r="A23" s="488" t="s">
        <v>444</v>
      </c>
      <c r="B23" s="15"/>
      <c r="C23" s="8"/>
      <c r="D23" s="8"/>
      <c r="E23" s="8"/>
      <c r="F23" s="8"/>
      <c r="G23" s="249"/>
      <c r="H23" s="199" t="s">
        <v>251</v>
      </c>
      <c r="J23" s="250" t="s">
        <v>479</v>
      </c>
      <c r="K23" s="8">
        <v>34</v>
      </c>
      <c r="L23" s="200"/>
      <c r="M23" s="206" t="s">
        <v>252</v>
      </c>
      <c r="N23" s="206"/>
      <c r="O23" s="206"/>
      <c r="P23" s="206"/>
      <c r="Q23" s="251">
        <v>148</v>
      </c>
      <c r="R23" s="496" t="s">
        <v>253</v>
      </c>
      <c r="S23" s="497"/>
      <c r="T23" s="508">
        <v>21.5</v>
      </c>
      <c r="U23" s="509">
        <v>7</v>
      </c>
      <c r="V23" s="252" t="s">
        <v>263</v>
      </c>
      <c r="W23" s="253">
        <v>5</v>
      </c>
      <c r="X23" s="254"/>
      <c r="Y23" s="254"/>
      <c r="Z23" s="254"/>
      <c r="AA23" s="254"/>
      <c r="AB23" s="254" t="s">
        <v>44</v>
      </c>
      <c r="AC23" s="254"/>
      <c r="AD23" s="254"/>
      <c r="AE23" s="254"/>
      <c r="AF23" s="8"/>
      <c r="AG23" s="8"/>
      <c r="AI23" s="8"/>
      <c r="AJ23" s="8"/>
      <c r="AK23" s="8"/>
      <c r="AL23" s="8"/>
      <c r="AM23" s="8"/>
      <c r="AN23" s="8"/>
      <c r="AO23" s="166"/>
      <c r="AQ23" s="4"/>
      <c r="AW23" s="255" t="s">
        <v>254</v>
      </c>
      <c r="AX23" s="256"/>
      <c r="AY23" s="50" t="s">
        <v>37</v>
      </c>
      <c r="AZ23" s="49">
        <f>AI76</f>
        <v>1</v>
      </c>
      <c r="BA23" s="214"/>
      <c r="BB23" s="48"/>
      <c r="BC23" s="91" t="s">
        <v>39</v>
      </c>
      <c r="BD23" s="49">
        <f>'[1]CLASSIFICA'!D78</f>
        <v>44</v>
      </c>
      <c r="BE23" s="50" t="s">
        <v>36</v>
      </c>
      <c r="BF23" s="49">
        <f>'[1]CLASSIFICA'!F74</f>
        <v>77</v>
      </c>
      <c r="BG23" s="50" t="s">
        <v>60</v>
      </c>
      <c r="BH23" s="49">
        <f>S74</f>
        <v>549</v>
      </c>
      <c r="BI23" s="50" t="s">
        <v>42</v>
      </c>
      <c r="BJ23" s="49">
        <f>T81</f>
        <v>55</v>
      </c>
      <c r="BK23" s="50" t="s">
        <v>46</v>
      </c>
      <c r="BL23" s="49">
        <f>K60</f>
        <v>59</v>
      </c>
      <c r="BM23" s="50" t="s">
        <v>40</v>
      </c>
      <c r="BN23" s="234">
        <f>M61</f>
        <v>54</v>
      </c>
      <c r="BQ23" s="3"/>
      <c r="BX23" s="61"/>
    </row>
    <row r="24" spans="1:76" ht="12" customHeight="1">
      <c r="A24" s="257" t="s">
        <v>255</v>
      </c>
      <c r="B24" s="258">
        <v>69.75714285714285</v>
      </c>
      <c r="C24" s="259" t="s">
        <v>256</v>
      </c>
      <c r="D24" s="260"/>
      <c r="E24" s="260"/>
      <c r="F24" s="260"/>
      <c r="G24" s="261"/>
      <c r="H24" s="8" t="s">
        <v>480</v>
      </c>
      <c r="J24" s="250" t="s">
        <v>481</v>
      </c>
      <c r="K24" s="8">
        <v>26</v>
      </c>
      <c r="L24" s="200"/>
      <c r="M24" s="204" t="s">
        <v>257</v>
      </c>
      <c r="N24" s="206"/>
      <c r="O24" s="206"/>
      <c r="P24" s="206"/>
      <c r="Q24" s="262"/>
      <c r="R24" s="496" t="s">
        <v>193</v>
      </c>
      <c r="S24" s="497"/>
      <c r="T24" s="500">
        <v>24.5</v>
      </c>
      <c r="U24" s="501">
        <v>6</v>
      </c>
      <c r="V24" s="263" t="s">
        <v>251</v>
      </c>
      <c r="W24" s="264">
        <v>4</v>
      </c>
      <c r="X24" s="265" t="s">
        <v>258</v>
      </c>
      <c r="Y24" s="266"/>
      <c r="Z24" s="267"/>
      <c r="AA24" s="268"/>
      <c r="AB24" s="210"/>
      <c r="AC24" s="269"/>
      <c r="AD24" s="79"/>
      <c r="AE24" s="131"/>
      <c r="AF24" s="8"/>
      <c r="AG24" s="8"/>
      <c r="AH24" s="270" t="s">
        <v>259</v>
      </c>
      <c r="AL24" s="8"/>
      <c r="AM24" s="8"/>
      <c r="AN24" s="9"/>
      <c r="AO24" s="166"/>
      <c r="AQ24" s="4"/>
      <c r="AW24" s="91" t="s">
        <v>260</v>
      </c>
      <c r="AX24" s="49"/>
      <c r="AY24" s="50" t="s">
        <v>39</v>
      </c>
      <c r="AZ24" s="49">
        <v>0</v>
      </c>
      <c r="BA24" s="91"/>
      <c r="BB24" s="48"/>
      <c r="BC24" s="91" t="s">
        <v>37</v>
      </c>
      <c r="BD24" s="49">
        <f>D76</f>
        <v>39</v>
      </c>
      <c r="BE24" s="50" t="s">
        <v>42</v>
      </c>
      <c r="BF24" s="49">
        <f>F81</f>
        <v>81</v>
      </c>
      <c r="BG24" s="50" t="s">
        <v>37</v>
      </c>
      <c r="BH24" s="49">
        <f>S76</f>
        <v>556</v>
      </c>
      <c r="BI24" s="50" t="s">
        <v>39</v>
      </c>
      <c r="BJ24" s="49">
        <f>'[1]CLASSIFICA'!T78</f>
        <v>60</v>
      </c>
      <c r="BK24" s="50" t="s">
        <v>42</v>
      </c>
      <c r="BL24" s="49">
        <f>K58</f>
        <v>63</v>
      </c>
      <c r="BM24" s="50" t="s">
        <v>41</v>
      </c>
      <c r="BN24" s="234">
        <f>M59</f>
        <v>58</v>
      </c>
      <c r="BQ24" s="3"/>
      <c r="BX24" s="61"/>
    </row>
    <row r="25" spans="1:76" ht="12" customHeight="1" thickBot="1">
      <c r="A25" s="257" t="s">
        <v>285</v>
      </c>
      <c r="B25" s="258">
        <v>69.65714285714286</v>
      </c>
      <c r="C25" s="8" t="s">
        <v>38</v>
      </c>
      <c r="D25" s="254"/>
      <c r="E25" s="254"/>
      <c r="F25" s="254"/>
      <c r="G25" s="271">
        <v>5</v>
      </c>
      <c r="H25" s="8" t="s">
        <v>273</v>
      </c>
      <c r="I25" s="8"/>
      <c r="J25" s="275" t="s">
        <v>482</v>
      </c>
      <c r="K25" s="8">
        <v>16</v>
      </c>
      <c r="L25" s="200"/>
      <c r="M25" s="199" t="s">
        <v>262</v>
      </c>
      <c r="N25" s="8"/>
      <c r="O25" s="8"/>
      <c r="P25" s="8"/>
      <c r="Q25" s="272">
        <v>312</v>
      </c>
      <c r="R25" s="496" t="s">
        <v>192</v>
      </c>
      <c r="S25" s="497"/>
      <c r="T25" s="500">
        <v>25.5</v>
      </c>
      <c r="U25" s="501">
        <v>9</v>
      </c>
      <c r="V25" s="263" t="s">
        <v>46</v>
      </c>
      <c r="W25" s="264">
        <v>3</v>
      </c>
      <c r="X25" s="263" t="s">
        <v>264</v>
      </c>
      <c r="Y25" s="254"/>
      <c r="Z25" s="8"/>
      <c r="AA25" s="200"/>
      <c r="AB25" s="79"/>
      <c r="AC25" s="269"/>
      <c r="AD25" s="79"/>
      <c r="AE25" s="131"/>
      <c r="AF25" s="8"/>
      <c r="AG25" s="8"/>
      <c r="AH25" s="270" t="s">
        <v>259</v>
      </c>
      <c r="AL25" s="8"/>
      <c r="AM25" s="8"/>
      <c r="AN25" s="8"/>
      <c r="AO25" s="9"/>
      <c r="AP25" s="8"/>
      <c r="AW25" s="95" t="s">
        <v>265</v>
      </c>
      <c r="AX25" s="273">
        <v>1</v>
      </c>
      <c r="AY25" s="97" t="s">
        <v>40</v>
      </c>
      <c r="AZ25" s="273">
        <v>0</v>
      </c>
      <c r="BA25" s="95"/>
      <c r="BB25" s="26"/>
      <c r="BC25" s="97" t="s">
        <v>46</v>
      </c>
      <c r="BD25" s="96">
        <f>D75</f>
        <v>22</v>
      </c>
      <c r="BE25" s="97" t="s">
        <v>40</v>
      </c>
      <c r="BF25" s="96">
        <f>F79</f>
        <v>90</v>
      </c>
      <c r="BG25" s="97" t="s">
        <v>40</v>
      </c>
      <c r="BH25" s="96">
        <f>S79</f>
        <v>567</v>
      </c>
      <c r="BI25" s="97" t="s">
        <v>37</v>
      </c>
      <c r="BJ25" s="96">
        <f>T76</f>
        <v>69</v>
      </c>
      <c r="BK25" s="97" t="s">
        <v>37</v>
      </c>
      <c r="BL25" s="96">
        <f>K62</f>
        <v>63</v>
      </c>
      <c r="BM25" s="97" t="s">
        <v>37</v>
      </c>
      <c r="BN25" s="226">
        <f>M62</f>
        <v>36</v>
      </c>
      <c r="BQ25" s="3"/>
      <c r="BX25" s="61"/>
    </row>
    <row r="26" spans="1:76" ht="12" customHeight="1" thickBot="1">
      <c r="A26" s="257" t="s">
        <v>261</v>
      </c>
      <c r="B26" s="258">
        <v>68.91176470588235</v>
      </c>
      <c r="C26" s="8"/>
      <c r="D26" s="206"/>
      <c r="E26" s="206"/>
      <c r="F26" s="206"/>
      <c r="G26" s="274"/>
      <c r="H26" s="8" t="s">
        <v>483</v>
      </c>
      <c r="I26" s="8"/>
      <c r="J26" s="250" t="s">
        <v>484</v>
      </c>
      <c r="K26" s="8">
        <v>15</v>
      </c>
      <c r="L26" s="200"/>
      <c r="M26" s="276" t="s">
        <v>267</v>
      </c>
      <c r="N26" s="8"/>
      <c r="O26" s="8"/>
      <c r="P26" s="8"/>
      <c r="Q26" s="272">
        <v>281</v>
      </c>
      <c r="R26" s="496" t="s">
        <v>190</v>
      </c>
      <c r="S26" s="497"/>
      <c r="T26" s="500">
        <v>27</v>
      </c>
      <c r="U26" s="501"/>
      <c r="V26" s="263" t="s">
        <v>268</v>
      </c>
      <c r="W26" s="264">
        <v>3</v>
      </c>
      <c r="X26" s="496" t="s">
        <v>269</v>
      </c>
      <c r="Y26" s="497"/>
      <c r="Z26" s="497"/>
      <c r="AA26" s="498"/>
      <c r="AB26" s="277"/>
      <c r="AC26" s="269"/>
      <c r="AD26" s="79"/>
      <c r="AE26" s="131"/>
      <c r="AF26" s="8"/>
      <c r="AG26" s="8"/>
      <c r="AH26" s="278" t="s">
        <v>270</v>
      </c>
      <c r="AI26" s="279"/>
      <c r="AJ26" s="8"/>
      <c r="AK26" s="8"/>
      <c r="AL26" s="8"/>
      <c r="AM26" s="8"/>
      <c r="AN26" s="9"/>
      <c r="AO26" s="9"/>
      <c r="AP26" s="8"/>
      <c r="AW26" s="49"/>
      <c r="AX26" s="49"/>
      <c r="AZ26" s="61"/>
      <c r="BA26" s="49"/>
      <c r="BB26" s="49"/>
      <c r="BC26" s="49"/>
      <c r="BD26" s="49"/>
      <c r="BE26" s="8"/>
      <c r="BF26" s="49"/>
      <c r="BG26" s="8"/>
      <c r="BH26" s="49"/>
      <c r="BI26" s="8"/>
      <c r="BJ26" s="49"/>
      <c r="BK26" s="8"/>
      <c r="BL26" s="49"/>
      <c r="BM26" s="8"/>
      <c r="BN26" s="49"/>
      <c r="BO26" s="280"/>
      <c r="BX26" s="61"/>
    </row>
    <row r="27" spans="1:76" ht="12" customHeight="1">
      <c r="A27" s="257" t="s">
        <v>291</v>
      </c>
      <c r="B27" s="258">
        <v>68.72058823529412</v>
      </c>
      <c r="C27" s="259" t="s">
        <v>272</v>
      </c>
      <c r="D27" s="259"/>
      <c r="E27" s="260"/>
      <c r="F27" s="260"/>
      <c r="G27" s="261"/>
      <c r="H27" s="8" t="s">
        <v>485</v>
      </c>
      <c r="I27" s="8"/>
      <c r="J27" s="250" t="s">
        <v>486</v>
      </c>
      <c r="K27" s="8">
        <v>12</v>
      </c>
      <c r="L27" s="200"/>
      <c r="M27" s="281" t="s">
        <v>274</v>
      </c>
      <c r="N27" s="254"/>
      <c r="O27" s="254"/>
      <c r="P27" s="254"/>
      <c r="Q27" s="282"/>
      <c r="R27" s="496" t="s">
        <v>191</v>
      </c>
      <c r="S27" s="497"/>
      <c r="T27" s="500">
        <v>27</v>
      </c>
      <c r="U27" s="501">
        <v>7.5</v>
      </c>
      <c r="V27" s="263" t="s">
        <v>273</v>
      </c>
      <c r="W27" s="264">
        <v>2</v>
      </c>
      <c r="X27" s="199"/>
      <c r="Y27" s="49"/>
      <c r="Z27" s="49"/>
      <c r="AA27" s="53"/>
      <c r="AB27" s="283"/>
      <c r="AE27" s="59"/>
      <c r="AF27" s="8"/>
      <c r="AG27" s="8"/>
      <c r="AH27" s="284" t="s">
        <v>275</v>
      </c>
      <c r="AL27" s="8"/>
      <c r="AM27" s="8"/>
      <c r="AN27" s="9"/>
      <c r="AO27" s="9"/>
      <c r="AP27" s="8"/>
      <c r="AW27" s="209" t="s">
        <v>276</v>
      </c>
      <c r="AX27" s="285"/>
      <c r="AY27" s="86" t="s">
        <v>62</v>
      </c>
      <c r="AZ27" s="286"/>
      <c r="BA27" s="85" t="s">
        <v>63</v>
      </c>
      <c r="BB27" s="286"/>
      <c r="BC27" s="85" t="s">
        <v>276</v>
      </c>
      <c r="BD27" s="286"/>
      <c r="BE27" s="85" t="s">
        <v>62</v>
      </c>
      <c r="BF27" s="286"/>
      <c r="BG27" s="85" t="s">
        <v>5</v>
      </c>
      <c r="BH27" s="286"/>
      <c r="BI27" s="85" t="s">
        <v>5</v>
      </c>
      <c r="BJ27" s="286"/>
      <c r="BK27" s="86" t="s">
        <v>277</v>
      </c>
      <c r="BL27" s="87"/>
      <c r="BM27" s="86" t="s">
        <v>236</v>
      </c>
      <c r="BN27" s="223"/>
      <c r="BQ27" s="3"/>
      <c r="BW27" s="61"/>
      <c r="BX27" s="61"/>
    </row>
    <row r="28" spans="1:81" ht="12" customHeight="1">
      <c r="A28" s="257" t="s">
        <v>278</v>
      </c>
      <c r="B28" s="258">
        <v>68.01470588235294</v>
      </c>
      <c r="C28" s="52" t="s">
        <v>279</v>
      </c>
      <c r="D28" s="8"/>
      <c r="E28" s="8"/>
      <c r="F28" s="8"/>
      <c r="G28" s="200"/>
      <c r="H28" s="3" t="s">
        <v>487</v>
      </c>
      <c r="J28" s="250" t="s">
        <v>488</v>
      </c>
      <c r="K28" s="3">
        <v>12</v>
      </c>
      <c r="L28" s="8"/>
      <c r="M28" s="287" t="s">
        <v>280</v>
      </c>
      <c r="N28" s="206"/>
      <c r="O28" s="206"/>
      <c r="P28" s="206"/>
      <c r="Q28" s="262"/>
      <c r="R28" s="506" t="s">
        <v>194</v>
      </c>
      <c r="S28" s="507"/>
      <c r="T28" s="500">
        <v>28.5</v>
      </c>
      <c r="U28" s="501">
        <v>11.5</v>
      </c>
      <c r="X28" s="204" t="s">
        <v>281</v>
      </c>
      <c r="Y28" s="213"/>
      <c r="Z28" s="8"/>
      <c r="AA28" s="200"/>
      <c r="AB28" s="56"/>
      <c r="AC28" s="269"/>
      <c r="AD28" s="79"/>
      <c r="AE28" s="131"/>
      <c r="AF28" s="8"/>
      <c r="AG28" s="8"/>
      <c r="AH28" s="284" t="s">
        <v>282</v>
      </c>
      <c r="AL28" s="8"/>
      <c r="AM28" s="8"/>
      <c r="AN28" s="8"/>
      <c r="AO28" s="9"/>
      <c r="AP28" s="8"/>
      <c r="AW28" s="227" t="s">
        <v>4</v>
      </c>
      <c r="AX28" s="193"/>
      <c r="AY28" s="204" t="s">
        <v>4</v>
      </c>
      <c r="AZ28" s="290"/>
      <c r="BA28" s="213" t="s">
        <v>43</v>
      </c>
      <c r="BB28" s="290"/>
      <c r="BC28" s="213" t="s">
        <v>43</v>
      </c>
      <c r="BD28" s="290"/>
      <c r="BE28" s="213" t="s">
        <v>43</v>
      </c>
      <c r="BF28" s="290"/>
      <c r="BG28" s="213" t="s">
        <v>283</v>
      </c>
      <c r="BH28" s="290"/>
      <c r="BI28" s="213" t="s">
        <v>284</v>
      </c>
      <c r="BJ28" s="290"/>
      <c r="BK28" s="204" t="s">
        <v>283</v>
      </c>
      <c r="BL28" s="203"/>
      <c r="BM28" s="204" t="s">
        <v>240</v>
      </c>
      <c r="BN28" s="228"/>
      <c r="BQ28" s="3"/>
      <c r="BW28" s="61"/>
      <c r="BX28" s="61"/>
      <c r="BY28" s="61"/>
      <c r="BZ28" s="61"/>
      <c r="CA28" s="61"/>
      <c r="CB28" s="61"/>
      <c r="CC28" s="61"/>
    </row>
    <row r="29" spans="1:81" ht="12" customHeight="1">
      <c r="A29" s="257" t="s">
        <v>288</v>
      </c>
      <c r="B29" s="258">
        <v>67.54411764705883</v>
      </c>
      <c r="C29" s="8" t="s">
        <v>39</v>
      </c>
      <c r="D29" s="8"/>
      <c r="E29" s="8"/>
      <c r="F29" s="8"/>
      <c r="G29" s="244">
        <v>16</v>
      </c>
      <c r="H29" s="217" t="s">
        <v>489</v>
      </c>
      <c r="I29" s="8"/>
      <c r="J29" s="250" t="s">
        <v>484</v>
      </c>
      <c r="K29" s="8">
        <v>12</v>
      </c>
      <c r="L29" s="200"/>
      <c r="M29" s="199" t="s">
        <v>178</v>
      </c>
      <c r="N29" s="8"/>
      <c r="O29" s="8"/>
      <c r="P29" s="8"/>
      <c r="Q29" s="272">
        <v>28</v>
      </c>
      <c r="R29" s="496" t="s">
        <v>46</v>
      </c>
      <c r="S29" s="497"/>
      <c r="T29" s="500">
        <v>32</v>
      </c>
      <c r="U29" s="501">
        <v>7.5</v>
      </c>
      <c r="V29" s="291"/>
      <c r="W29" s="292"/>
      <c r="X29" s="263" t="s">
        <v>286</v>
      </c>
      <c r="Y29" s="8"/>
      <c r="Z29" s="8"/>
      <c r="AA29" s="200"/>
      <c r="AB29" s="293"/>
      <c r="AE29" s="59"/>
      <c r="AF29" s="8"/>
      <c r="AG29" s="8"/>
      <c r="AH29" s="284" t="s">
        <v>287</v>
      </c>
      <c r="AI29" s="2"/>
      <c r="AJ29" s="3"/>
      <c r="AK29" s="8"/>
      <c r="AL29" s="8"/>
      <c r="AM29" s="8"/>
      <c r="AN29" s="9"/>
      <c r="AO29" s="9"/>
      <c r="AP29" s="8"/>
      <c r="AW29" s="91" t="s">
        <v>42</v>
      </c>
      <c r="AX29" s="53">
        <f>N58</f>
        <v>46</v>
      </c>
      <c r="AY29" s="50" t="s">
        <v>39</v>
      </c>
      <c r="AZ29" s="53">
        <f>O56</f>
        <v>80</v>
      </c>
      <c r="BA29" s="50" t="s">
        <v>39</v>
      </c>
      <c r="BB29" s="53">
        <f>E56</f>
        <v>163</v>
      </c>
      <c r="BC29" s="49" t="s">
        <v>46</v>
      </c>
      <c r="BD29" s="53">
        <f>F60</f>
        <v>100</v>
      </c>
      <c r="BE29" s="50" t="s">
        <v>39</v>
      </c>
      <c r="BF29" s="53">
        <f>G56</f>
        <v>133</v>
      </c>
      <c r="BG29" s="49" t="s">
        <v>38</v>
      </c>
      <c r="BH29" s="53">
        <f>P57</f>
        <v>634</v>
      </c>
      <c r="BI29" s="49" t="s">
        <v>40</v>
      </c>
      <c r="BJ29" s="53">
        <f>Q61</f>
        <v>543</v>
      </c>
      <c r="BK29" s="50" t="s">
        <v>38</v>
      </c>
      <c r="BL29" s="49">
        <f>V57</f>
        <v>741</v>
      </c>
      <c r="BM29" s="50" t="s">
        <v>36</v>
      </c>
      <c r="BN29" s="93">
        <f>X74</f>
        <v>72</v>
      </c>
      <c r="BQ29" s="3"/>
      <c r="BW29" s="83"/>
      <c r="BX29" s="83"/>
      <c r="BY29" s="83"/>
      <c r="BZ29" s="83"/>
      <c r="CA29" s="83"/>
      <c r="CB29" s="83"/>
      <c r="CC29" s="83"/>
    </row>
    <row r="30" spans="1:79" ht="12" customHeight="1">
      <c r="A30" s="257" t="s">
        <v>266</v>
      </c>
      <c r="B30" s="258">
        <v>67.3970588235294</v>
      </c>
      <c r="C30" s="206"/>
      <c r="D30" s="206"/>
      <c r="E30" s="206"/>
      <c r="F30" s="206"/>
      <c r="G30" s="51"/>
      <c r="H30" s="205" t="s">
        <v>490</v>
      </c>
      <c r="I30" s="8"/>
      <c r="J30" s="250" t="s">
        <v>482</v>
      </c>
      <c r="K30" s="8">
        <v>9</v>
      </c>
      <c r="L30" s="248">
        <f>SUM(K23:K30)</f>
        <v>136</v>
      </c>
      <c r="M30" s="205" t="s">
        <v>433</v>
      </c>
      <c r="N30" s="206"/>
      <c r="O30" s="206"/>
      <c r="P30" s="206"/>
      <c r="Q30" s="294">
        <v>26</v>
      </c>
      <c r="R30" s="502" t="s">
        <v>195</v>
      </c>
      <c r="S30" s="503"/>
      <c r="T30" s="504">
        <v>32.5</v>
      </c>
      <c r="U30" s="505">
        <v>7</v>
      </c>
      <c r="V30" s="295"/>
      <c r="W30" s="206"/>
      <c r="X30" s="496" t="s">
        <v>289</v>
      </c>
      <c r="Y30" s="497"/>
      <c r="Z30" s="497"/>
      <c r="AA30" s="498"/>
      <c r="AB30" s="296"/>
      <c r="AC30" s="297"/>
      <c r="AD30" s="125"/>
      <c r="AE30" s="135"/>
      <c r="AF30" s="8"/>
      <c r="AG30" s="8"/>
      <c r="AH30" s="284" t="s">
        <v>290</v>
      </c>
      <c r="AI30" s="8"/>
      <c r="AJ30" s="8"/>
      <c r="AK30" s="8"/>
      <c r="AL30" s="8"/>
      <c r="AM30" s="8"/>
      <c r="AN30" s="9"/>
      <c r="AO30" s="9"/>
      <c r="AP30" s="8"/>
      <c r="AW30" s="91" t="s">
        <v>37</v>
      </c>
      <c r="AX30" s="49">
        <f>N62</f>
        <v>49</v>
      </c>
      <c r="AY30" s="50" t="s">
        <v>36</v>
      </c>
      <c r="AZ30" s="53">
        <f>O55</f>
        <v>74</v>
      </c>
      <c r="BA30" s="49" t="s">
        <v>38</v>
      </c>
      <c r="BB30" s="53">
        <f>E57</f>
        <v>158</v>
      </c>
      <c r="BC30" s="49" t="s">
        <v>37</v>
      </c>
      <c r="BD30" s="53">
        <f>F62</f>
        <v>97</v>
      </c>
      <c r="BE30" s="49" t="s">
        <v>36</v>
      </c>
      <c r="BF30" s="53">
        <f>G55</f>
        <v>129</v>
      </c>
      <c r="BG30" s="49" t="s">
        <v>36</v>
      </c>
      <c r="BH30" s="53">
        <f>P55</f>
        <v>619</v>
      </c>
      <c r="BI30" s="49" t="s">
        <v>38</v>
      </c>
      <c r="BJ30" s="53">
        <f>Q57</f>
        <v>557</v>
      </c>
      <c r="BK30" s="50" t="s">
        <v>36</v>
      </c>
      <c r="BL30" s="49">
        <f>V55</f>
        <v>726</v>
      </c>
      <c r="BM30" s="50" t="s">
        <v>46</v>
      </c>
      <c r="BN30" s="93">
        <f>X75</f>
        <v>62</v>
      </c>
      <c r="BQ30" s="3"/>
      <c r="BX30" s="83"/>
      <c r="CA30" s="83"/>
    </row>
    <row r="31" spans="1:79" ht="12" customHeight="1" thickBot="1">
      <c r="A31" s="298" t="s">
        <v>271</v>
      </c>
      <c r="B31" s="299">
        <v>66.67647058823529</v>
      </c>
      <c r="D31" s="8"/>
      <c r="E31" s="52"/>
      <c r="F31" s="52"/>
      <c r="G31" s="52"/>
      <c r="H31" s="8"/>
      <c r="I31" s="266"/>
      <c r="J31" s="254"/>
      <c r="K31" s="254"/>
      <c r="L31" s="254"/>
      <c r="M31" s="8"/>
      <c r="N31" s="8"/>
      <c r="O31" s="8"/>
      <c r="P31" s="8"/>
      <c r="Q31" s="8"/>
      <c r="R31" s="8"/>
      <c r="S31" s="8"/>
      <c r="T31" s="8"/>
      <c r="U31" s="300">
        <f>SUM(T23:T30)</f>
        <v>218.5</v>
      </c>
      <c r="V31" s="8"/>
      <c r="W31" s="8"/>
      <c r="X31" s="199"/>
      <c r="Y31" s="8"/>
      <c r="Z31" s="8"/>
      <c r="AA31" s="53"/>
      <c r="AB31" s="217"/>
      <c r="AC31" s="269"/>
      <c r="AD31" s="79"/>
      <c r="AE31" s="131"/>
      <c r="AF31" s="8"/>
      <c r="AG31" s="8"/>
      <c r="AH31" s="278" t="s">
        <v>292</v>
      </c>
      <c r="AI31" s="301"/>
      <c r="AJ31" s="301"/>
      <c r="AK31" s="301"/>
      <c r="AL31" s="8"/>
      <c r="AM31" s="8"/>
      <c r="AN31" s="8"/>
      <c r="AO31" s="9"/>
      <c r="AP31" s="8"/>
      <c r="AW31" s="91" t="s">
        <v>46</v>
      </c>
      <c r="AX31" s="49">
        <f>N60</f>
        <v>49</v>
      </c>
      <c r="AY31" s="50" t="s">
        <v>38</v>
      </c>
      <c r="AZ31" s="53">
        <f>O57</f>
        <v>81</v>
      </c>
      <c r="BA31" s="50" t="s">
        <v>36</v>
      </c>
      <c r="BB31" s="53">
        <f>E55</f>
        <v>159</v>
      </c>
      <c r="BC31" s="49" t="s">
        <v>36</v>
      </c>
      <c r="BD31" s="53">
        <f>F55</f>
        <v>90</v>
      </c>
      <c r="BE31" s="49" t="s">
        <v>38</v>
      </c>
      <c r="BF31" s="53">
        <f>G57</f>
        <v>139</v>
      </c>
      <c r="BG31" s="50" t="s">
        <v>39</v>
      </c>
      <c r="BH31" s="53">
        <f>P56</f>
        <v>608</v>
      </c>
      <c r="BI31" s="49" t="s">
        <v>36</v>
      </c>
      <c r="BJ31" s="53">
        <f>Q55</f>
        <v>549</v>
      </c>
      <c r="BK31" s="50" t="s">
        <v>42</v>
      </c>
      <c r="BL31" s="49">
        <f>V58</f>
        <v>659</v>
      </c>
      <c r="BM31" s="50" t="s">
        <v>42</v>
      </c>
      <c r="BN31" s="93">
        <f>X81</f>
        <v>52</v>
      </c>
      <c r="BQ31" s="3"/>
      <c r="BX31" s="83"/>
      <c r="CA31" s="83"/>
    </row>
    <row r="32" spans="3:79" ht="12" customHeight="1" thickBot="1">
      <c r="C32" s="302" t="s">
        <v>293</v>
      </c>
      <c r="D32" s="303"/>
      <c r="E32" s="304"/>
      <c r="X32" s="119"/>
      <c r="AA32" s="177"/>
      <c r="AC32" s="269"/>
      <c r="AD32" s="79"/>
      <c r="AE32" s="131"/>
      <c r="AF32" s="8"/>
      <c r="AG32" s="8"/>
      <c r="AH32" s="284" t="s">
        <v>294</v>
      </c>
      <c r="AJ32" s="3"/>
      <c r="AK32" s="8"/>
      <c r="AL32" s="8"/>
      <c r="AO32" s="9"/>
      <c r="AP32" s="8"/>
      <c r="AW32" s="91" t="s">
        <v>36</v>
      </c>
      <c r="AX32" s="49">
        <f>N55</f>
        <v>49</v>
      </c>
      <c r="AY32" s="50" t="s">
        <v>42</v>
      </c>
      <c r="AZ32" s="53">
        <f>O58</f>
        <v>86</v>
      </c>
      <c r="BA32" s="49" t="s">
        <v>42</v>
      </c>
      <c r="BB32" s="53">
        <f>E58</f>
        <v>146</v>
      </c>
      <c r="BC32" s="49" t="s">
        <v>39</v>
      </c>
      <c r="BD32" s="53">
        <f>F56</f>
        <v>82</v>
      </c>
      <c r="BE32" s="49" t="s">
        <v>42</v>
      </c>
      <c r="BF32" s="53">
        <f>G58</f>
        <v>149</v>
      </c>
      <c r="BG32" s="49" t="s">
        <v>41</v>
      </c>
      <c r="BH32" s="53">
        <f>P59</f>
        <v>579</v>
      </c>
      <c r="BI32" s="49" t="s">
        <v>41</v>
      </c>
      <c r="BJ32" s="53">
        <f>Q59</f>
        <v>578</v>
      </c>
      <c r="BK32" s="50" t="s">
        <v>39</v>
      </c>
      <c r="BL32" s="49">
        <f>V56</f>
        <v>668</v>
      </c>
      <c r="BM32" s="50" t="s">
        <v>39</v>
      </c>
      <c r="BN32" s="93">
        <f>X78</f>
        <v>48</v>
      </c>
      <c r="BQ32" s="3"/>
      <c r="BX32" s="61"/>
      <c r="CA32" s="61"/>
    </row>
    <row r="33" spans="1:79" ht="12" customHeight="1">
      <c r="A33" s="3" t="s">
        <v>491</v>
      </c>
      <c r="W33" s="305"/>
      <c r="X33" s="246" t="s">
        <v>295</v>
      </c>
      <c r="Y33" s="276"/>
      <c r="Z33" s="276"/>
      <c r="AA33" s="306"/>
      <c r="AC33" s="269"/>
      <c r="AD33" s="79"/>
      <c r="AE33" s="131"/>
      <c r="AF33" s="8"/>
      <c r="AH33" s="284" t="s">
        <v>282</v>
      </c>
      <c r="AI33" s="269"/>
      <c r="AJ33" s="79"/>
      <c r="AK33" s="131"/>
      <c r="AL33" s="8"/>
      <c r="AM33" s="8"/>
      <c r="AN33" s="9"/>
      <c r="AO33" s="9"/>
      <c r="AP33" s="8"/>
      <c r="AW33" s="91" t="s">
        <v>41</v>
      </c>
      <c r="AX33" s="49">
        <f>N59</f>
        <v>43</v>
      </c>
      <c r="AY33" s="50" t="s">
        <v>46</v>
      </c>
      <c r="AZ33" s="53">
        <f>O60</f>
        <v>82</v>
      </c>
      <c r="BA33" s="49" t="s">
        <v>41</v>
      </c>
      <c r="BB33" s="53">
        <f>E59</f>
        <v>146</v>
      </c>
      <c r="BC33" s="49" t="s">
        <v>42</v>
      </c>
      <c r="BD33" s="53">
        <f>F58</f>
        <v>83</v>
      </c>
      <c r="BE33" s="49" t="s">
        <v>46</v>
      </c>
      <c r="BF33" s="53">
        <f>G60</f>
        <v>141</v>
      </c>
      <c r="BG33" s="49" t="s">
        <v>42</v>
      </c>
      <c r="BH33" s="53">
        <f>P58</f>
        <v>563</v>
      </c>
      <c r="BI33" s="49" t="s">
        <v>42</v>
      </c>
      <c r="BJ33" s="53">
        <f>Q58</f>
        <v>583</v>
      </c>
      <c r="BK33" s="50" t="s">
        <v>46</v>
      </c>
      <c r="BL33" s="49">
        <f>V60</f>
        <v>629</v>
      </c>
      <c r="BM33" s="50" t="s">
        <v>40</v>
      </c>
      <c r="BN33" s="93">
        <f>X79</f>
        <v>48</v>
      </c>
      <c r="BQ33" s="3"/>
      <c r="BX33" s="61"/>
      <c r="CA33" s="61"/>
    </row>
    <row r="34" spans="1:79" ht="12" customHeight="1">
      <c r="A34" s="305" t="s">
        <v>492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263" t="s">
        <v>296</v>
      </c>
      <c r="Y34" s="217"/>
      <c r="Z34" s="217"/>
      <c r="AA34" s="306"/>
      <c r="AC34" s="269"/>
      <c r="AD34" s="79"/>
      <c r="AE34" s="131"/>
      <c r="AF34" s="8"/>
      <c r="AH34" s="307" t="s">
        <v>297</v>
      </c>
      <c r="AI34" s="269"/>
      <c r="AJ34" s="79"/>
      <c r="AK34" s="131"/>
      <c r="AL34" s="8"/>
      <c r="AM34" s="8"/>
      <c r="AN34" s="9"/>
      <c r="AO34" s="9"/>
      <c r="AP34" s="8"/>
      <c r="AW34" s="91" t="s">
        <v>38</v>
      </c>
      <c r="AX34" s="49">
        <f>N57</f>
        <v>44</v>
      </c>
      <c r="AY34" s="50" t="s">
        <v>41</v>
      </c>
      <c r="AZ34" s="53">
        <f>O59</f>
        <v>88</v>
      </c>
      <c r="BA34" s="49" t="s">
        <v>40</v>
      </c>
      <c r="BB34" s="53">
        <f>E61</f>
        <v>137</v>
      </c>
      <c r="BC34" s="49" t="s">
        <v>40</v>
      </c>
      <c r="BD34" s="53">
        <f>F61</f>
        <v>87</v>
      </c>
      <c r="BE34" s="49" t="s">
        <v>41</v>
      </c>
      <c r="BF34" s="53">
        <f>G59</f>
        <v>148</v>
      </c>
      <c r="BG34" s="49" t="s">
        <v>46</v>
      </c>
      <c r="BH34" s="53">
        <f>P60</f>
        <v>541</v>
      </c>
      <c r="BI34" s="49" t="s">
        <v>39</v>
      </c>
      <c r="BJ34" s="53">
        <f>Q56</f>
        <v>587</v>
      </c>
      <c r="BK34" s="50" t="s">
        <v>41</v>
      </c>
      <c r="BL34" s="49">
        <f>V59</f>
        <v>632</v>
      </c>
      <c r="BM34" s="50" t="s">
        <v>38</v>
      </c>
      <c r="BN34" s="93">
        <f>X77</f>
        <v>48</v>
      </c>
      <c r="BQ34" s="3"/>
      <c r="BX34" s="61"/>
      <c r="CA34" s="61"/>
    </row>
    <row r="35" spans="1:79" ht="12" customHeight="1">
      <c r="A35" s="305" t="s">
        <v>493</v>
      </c>
      <c r="B35" s="305"/>
      <c r="C35" s="79"/>
      <c r="F35" s="305"/>
      <c r="J35" s="305"/>
      <c r="K35" s="305"/>
      <c r="L35" s="79"/>
      <c r="M35" s="79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288" t="s">
        <v>298</v>
      </c>
      <c r="Y35" s="289"/>
      <c r="Z35" s="289"/>
      <c r="AA35" s="308"/>
      <c r="AB35" s="293"/>
      <c r="AC35" s="269"/>
      <c r="AD35" s="79"/>
      <c r="AE35" s="131"/>
      <c r="AF35" s="8"/>
      <c r="AI35" s="269"/>
      <c r="AJ35" s="79"/>
      <c r="AK35" s="131"/>
      <c r="AL35" s="8"/>
      <c r="AM35" s="8"/>
      <c r="AN35" s="9"/>
      <c r="AO35" s="9"/>
      <c r="AP35" s="8"/>
      <c r="AW35" s="91" t="s">
        <v>39</v>
      </c>
      <c r="AX35" s="53">
        <f>N56</f>
        <v>36</v>
      </c>
      <c r="AY35" s="50" t="s">
        <v>40</v>
      </c>
      <c r="AZ35" s="53">
        <f>O61</f>
        <v>99</v>
      </c>
      <c r="BA35" s="49" t="s">
        <v>46</v>
      </c>
      <c r="BB35" s="53">
        <f>E60</f>
        <v>137</v>
      </c>
      <c r="BC35" s="50" t="s">
        <v>41</v>
      </c>
      <c r="BD35" s="53">
        <f>F59</f>
        <v>84</v>
      </c>
      <c r="BE35" s="49" t="s">
        <v>40</v>
      </c>
      <c r="BF35" s="53">
        <f>G61</f>
        <v>154</v>
      </c>
      <c r="BG35" s="49" t="s">
        <v>40</v>
      </c>
      <c r="BH35" s="53">
        <f>P61</f>
        <v>533</v>
      </c>
      <c r="BI35" s="49" t="s">
        <v>46</v>
      </c>
      <c r="BJ35" s="53">
        <f>Q60</f>
        <v>564</v>
      </c>
      <c r="BK35" s="50" t="s">
        <v>40</v>
      </c>
      <c r="BL35" s="49">
        <f>V61</f>
        <v>598</v>
      </c>
      <c r="BM35" s="50" t="s">
        <v>41</v>
      </c>
      <c r="BN35" s="93">
        <f>X80</f>
        <v>12</v>
      </c>
      <c r="BQ35" s="3"/>
      <c r="BX35" s="61"/>
      <c r="CA35" s="61"/>
    </row>
    <row r="36" spans="1:79" ht="12" customHeight="1" thickBot="1">
      <c r="A36" s="79" t="s">
        <v>494</v>
      </c>
      <c r="B36" s="305"/>
      <c r="C36" s="305"/>
      <c r="D36" s="79"/>
      <c r="E36" s="79"/>
      <c r="F36" s="305"/>
      <c r="G36" s="305"/>
      <c r="H36" s="79"/>
      <c r="I36" s="79"/>
      <c r="J36" s="305"/>
      <c r="K36" s="305"/>
      <c r="L36" s="79"/>
      <c r="M36" s="79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216"/>
      <c r="Y36" s="217"/>
      <c r="Z36" s="309"/>
      <c r="AA36" s="310"/>
      <c r="AC36" s="269"/>
      <c r="AD36" s="79"/>
      <c r="AE36" s="131"/>
      <c r="AF36" s="8"/>
      <c r="AI36" s="269"/>
      <c r="AJ36" s="79"/>
      <c r="AK36" s="131"/>
      <c r="AL36" s="8"/>
      <c r="AM36" s="8"/>
      <c r="AN36" s="9"/>
      <c r="AO36" s="9"/>
      <c r="AP36" s="8"/>
      <c r="AW36" s="95" t="s">
        <v>40</v>
      </c>
      <c r="AX36" s="98">
        <f>N61</f>
        <v>36</v>
      </c>
      <c r="AY36" s="97" t="s">
        <v>37</v>
      </c>
      <c r="AZ36" s="98">
        <f>O62</f>
        <v>104</v>
      </c>
      <c r="BA36" s="96" t="s">
        <v>37</v>
      </c>
      <c r="BB36" s="98">
        <f>E62</f>
        <v>114</v>
      </c>
      <c r="BC36" s="96" t="s">
        <v>38</v>
      </c>
      <c r="BD36" s="98">
        <f>F57</f>
        <v>81</v>
      </c>
      <c r="BE36" s="96" t="s">
        <v>37</v>
      </c>
      <c r="BF36" s="98">
        <f>G62</f>
        <v>167</v>
      </c>
      <c r="BG36" s="96" t="s">
        <v>37</v>
      </c>
      <c r="BH36" s="98">
        <f>P62</f>
        <v>499</v>
      </c>
      <c r="BI36" s="96" t="s">
        <v>37</v>
      </c>
      <c r="BJ36" s="98">
        <f>Q62</f>
        <v>615</v>
      </c>
      <c r="BK36" s="97" t="s">
        <v>37</v>
      </c>
      <c r="BL36" s="96">
        <f>V62</f>
        <v>586</v>
      </c>
      <c r="BM36" s="97" t="s">
        <v>37</v>
      </c>
      <c r="BN36" s="311">
        <f>X76</f>
        <v>9</v>
      </c>
      <c r="BQ36" s="3"/>
      <c r="BX36" s="61"/>
      <c r="CA36" s="61"/>
    </row>
    <row r="37" spans="1:79" ht="12" customHeight="1" thickBot="1">
      <c r="A37" s="3" t="s">
        <v>495</v>
      </c>
      <c r="B37" s="305"/>
      <c r="C37" s="305"/>
      <c r="D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X37" s="246" t="s">
        <v>299</v>
      </c>
      <c r="Y37" s="276"/>
      <c r="Z37" s="276"/>
      <c r="AA37" s="306"/>
      <c r="AC37" s="269"/>
      <c r="AD37" s="79"/>
      <c r="AE37" s="131"/>
      <c r="AF37" s="8"/>
      <c r="AH37" s="79"/>
      <c r="AI37" s="269"/>
      <c r="AJ37" s="79"/>
      <c r="AK37" s="131"/>
      <c r="AL37" s="8"/>
      <c r="AM37" s="8"/>
      <c r="AN37" s="9"/>
      <c r="AO37" s="9"/>
      <c r="AP37" s="8"/>
      <c r="AW37" s="14"/>
      <c r="AX37" s="14"/>
      <c r="AY37" s="14"/>
      <c r="AZ37" s="285"/>
      <c r="BA37" s="14"/>
      <c r="BB37" s="285"/>
      <c r="BC37" s="14"/>
      <c r="BD37" s="285"/>
      <c r="BE37" s="285"/>
      <c r="BF37" s="285"/>
      <c r="BG37" s="14"/>
      <c r="BH37" s="285"/>
      <c r="BI37" s="14"/>
      <c r="BJ37" s="285"/>
      <c r="BK37" s="285"/>
      <c r="BL37" s="285"/>
      <c r="BM37" s="14"/>
      <c r="BN37" s="285"/>
      <c r="BO37" s="49"/>
      <c r="BR37" s="61"/>
      <c r="BU37" s="61"/>
      <c r="BX37" s="61"/>
      <c r="CA37" s="61"/>
    </row>
    <row r="38" spans="1:79" ht="12" customHeight="1">
      <c r="A38" s="79" t="s">
        <v>496</v>
      </c>
      <c r="W38" s="305"/>
      <c r="X38" s="263" t="s">
        <v>300</v>
      </c>
      <c r="Y38" s="217"/>
      <c r="Z38" s="217"/>
      <c r="AA38" s="306"/>
      <c r="AB38" s="293"/>
      <c r="AC38" s="269"/>
      <c r="AD38" s="79"/>
      <c r="AE38" s="131"/>
      <c r="AF38" s="8"/>
      <c r="AH38" s="79"/>
      <c r="AI38" s="269"/>
      <c r="AJ38" s="79"/>
      <c r="AK38" s="131"/>
      <c r="AL38" s="8"/>
      <c r="AM38" s="8"/>
      <c r="AN38" s="9"/>
      <c r="AO38" s="9"/>
      <c r="AP38" s="8"/>
      <c r="AW38" s="209" t="s">
        <v>301</v>
      </c>
      <c r="AX38" s="286"/>
      <c r="AY38" s="86" t="s">
        <v>302</v>
      </c>
      <c r="AZ38" s="285"/>
      <c r="BA38" s="86" t="s">
        <v>63</v>
      </c>
      <c r="BB38" s="85"/>
      <c r="BC38" s="86" t="s">
        <v>276</v>
      </c>
      <c r="BD38" s="85"/>
      <c r="BE38" s="86" t="s">
        <v>303</v>
      </c>
      <c r="BF38" s="85"/>
      <c r="BG38" s="150" t="s">
        <v>304</v>
      </c>
      <c r="BH38" s="85"/>
      <c r="BI38" s="88" t="s">
        <v>9</v>
      </c>
      <c r="BJ38" s="87"/>
      <c r="BK38" s="88" t="s">
        <v>305</v>
      </c>
      <c r="BL38" s="14"/>
      <c r="BM38" s="86" t="s">
        <v>277</v>
      </c>
      <c r="BN38" s="223"/>
      <c r="BO38" s="8"/>
      <c r="BQ38" s="3"/>
      <c r="BS38" s="312"/>
      <c r="BX38" s="61"/>
      <c r="CA38" s="61"/>
    </row>
    <row r="39" spans="1:79" ht="12" customHeight="1">
      <c r="A39" s="79" t="s">
        <v>497</v>
      </c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17"/>
      <c r="X39" s="288" t="s">
        <v>46</v>
      </c>
      <c r="Y39" s="289"/>
      <c r="Z39" s="289"/>
      <c r="AA39" s="308">
        <v>60.5</v>
      </c>
      <c r="AB39" s="313"/>
      <c r="AC39" s="217"/>
      <c r="AD39" s="217"/>
      <c r="AE39" s="217"/>
      <c r="AF39" s="8"/>
      <c r="AG39" s="314" t="s">
        <v>44</v>
      </c>
      <c r="AH39" s="315"/>
      <c r="AI39" s="315"/>
      <c r="AJ39" s="315"/>
      <c r="AK39" s="315"/>
      <c r="AL39" s="315"/>
      <c r="AM39" s="315"/>
      <c r="AN39" s="8"/>
      <c r="AO39" s="9"/>
      <c r="AP39" s="8"/>
      <c r="AW39" s="227"/>
      <c r="AX39" s="290"/>
      <c r="AY39" s="204"/>
      <c r="AZ39" s="193"/>
      <c r="BA39" s="204" t="s">
        <v>3</v>
      </c>
      <c r="BB39" s="213"/>
      <c r="BC39" s="204" t="s">
        <v>3</v>
      </c>
      <c r="BD39" s="213"/>
      <c r="BE39" s="204" t="s">
        <v>306</v>
      </c>
      <c r="BF39" s="213"/>
      <c r="BG39" s="207" t="s">
        <v>307</v>
      </c>
      <c r="BH39" s="213"/>
      <c r="BI39" s="245"/>
      <c r="BJ39" s="203"/>
      <c r="BK39" s="245"/>
      <c r="BL39" s="51"/>
      <c r="BM39" s="204" t="s">
        <v>284</v>
      </c>
      <c r="BN39" s="228"/>
      <c r="BO39" s="8"/>
      <c r="BQ39" s="3"/>
      <c r="BS39" s="316"/>
      <c r="BX39" s="61"/>
      <c r="CA39" s="61"/>
    </row>
    <row r="40" spans="1:81" ht="12.75" customHeight="1">
      <c r="A40" s="305" t="s">
        <v>498</v>
      </c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8"/>
      <c r="Y40" s="319"/>
      <c r="Z40" s="319"/>
      <c r="AA40" s="320"/>
      <c r="AB40" s="499"/>
      <c r="AC40" s="499"/>
      <c r="AD40" s="499"/>
      <c r="AE40" s="309"/>
      <c r="AF40" s="8"/>
      <c r="AG40" s="217"/>
      <c r="AH40" s="79"/>
      <c r="AI40" s="269"/>
      <c r="AJ40" s="79"/>
      <c r="AK40" s="131"/>
      <c r="AL40" s="8"/>
      <c r="AM40" s="8"/>
      <c r="AN40" s="9"/>
      <c r="AO40" s="9"/>
      <c r="AP40" s="8"/>
      <c r="AW40" s="91" t="s">
        <v>38</v>
      </c>
      <c r="AX40" s="53">
        <f>Y77</f>
        <v>139</v>
      </c>
      <c r="AY40" s="50" t="s">
        <v>39</v>
      </c>
      <c r="AZ40" s="49">
        <f>B56</f>
        <v>539</v>
      </c>
      <c r="BA40" s="50" t="s">
        <v>38</v>
      </c>
      <c r="BB40" s="49">
        <f>I57</f>
        <v>94</v>
      </c>
      <c r="BC40" s="50" t="s">
        <v>46</v>
      </c>
      <c r="BD40" s="49">
        <f>J60</f>
        <v>51</v>
      </c>
      <c r="BE40" s="50" t="s">
        <v>39</v>
      </c>
      <c r="BF40" s="49">
        <f>AA78</f>
        <v>169</v>
      </c>
      <c r="BG40" s="50" t="s">
        <v>36</v>
      </c>
      <c r="BH40" s="49">
        <f>153/(674+153)*100</f>
        <v>18.500604594921402</v>
      </c>
      <c r="BI40" s="50" t="s">
        <v>38</v>
      </c>
      <c r="BJ40" s="321">
        <f>AC57</f>
        <v>71.64153439153439</v>
      </c>
      <c r="BK40" s="50" t="s">
        <v>39</v>
      </c>
      <c r="BL40" s="322">
        <f>AD56</f>
        <v>6.126546954622665</v>
      </c>
      <c r="BM40" s="92" t="s">
        <v>40</v>
      </c>
      <c r="BN40" s="234">
        <f>W61</f>
        <v>617</v>
      </c>
      <c r="BO40" s="8"/>
      <c r="BQ40" s="3"/>
      <c r="BS40" s="323"/>
      <c r="BX40" s="61"/>
      <c r="BY40" s="61"/>
      <c r="BZ40" s="61"/>
      <c r="CA40" s="61"/>
      <c r="CB40" s="61"/>
      <c r="CC40" s="61"/>
    </row>
    <row r="41" spans="1:81" ht="12" customHeight="1">
      <c r="A41" s="79" t="s">
        <v>499</v>
      </c>
      <c r="B41" s="79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217"/>
      <c r="X41" s="317"/>
      <c r="Y41" s="317"/>
      <c r="Z41" s="317"/>
      <c r="AA41" s="317"/>
      <c r="AB41" s="317"/>
      <c r="AC41" s="317"/>
      <c r="AD41" s="317"/>
      <c r="AE41" s="317"/>
      <c r="AF41" s="8"/>
      <c r="AG41" s="217"/>
      <c r="AH41" s="8"/>
      <c r="AI41" s="8"/>
      <c r="AJ41" s="324"/>
      <c r="AK41" s="8"/>
      <c r="AL41" s="8"/>
      <c r="AM41" s="8"/>
      <c r="AN41" s="9"/>
      <c r="AO41" s="9"/>
      <c r="AP41" s="8"/>
      <c r="AW41" s="91" t="s">
        <v>39</v>
      </c>
      <c r="AX41" s="53">
        <f>Y78</f>
        <v>128</v>
      </c>
      <c r="AY41" s="50" t="s">
        <v>38</v>
      </c>
      <c r="AZ41" s="49">
        <f>B57</f>
        <v>524</v>
      </c>
      <c r="BA41" s="50" t="s">
        <v>41</v>
      </c>
      <c r="BB41" s="49">
        <f>I59</f>
        <v>88</v>
      </c>
      <c r="BC41" s="50" t="s">
        <v>40</v>
      </c>
      <c r="BD41" s="49">
        <f>J61</f>
        <v>51</v>
      </c>
      <c r="BE41" s="50" t="s">
        <v>38</v>
      </c>
      <c r="BF41" s="49">
        <f>AA77</f>
        <v>161</v>
      </c>
      <c r="BG41" s="50" t="s">
        <v>38</v>
      </c>
      <c r="BH41" s="49">
        <f>161/(696+161)*100</f>
        <v>18.786464410735125</v>
      </c>
      <c r="BI41" s="50" t="s">
        <v>36</v>
      </c>
      <c r="BJ41" s="321">
        <f>AC55</f>
        <v>71.48756613756613</v>
      </c>
      <c r="BK41" s="50" t="s">
        <v>36</v>
      </c>
      <c r="BL41" s="322">
        <f>AD55</f>
        <v>6.101986434108527</v>
      </c>
      <c r="BM41" s="50" t="s">
        <v>36</v>
      </c>
      <c r="BN41" s="234">
        <f>W55</f>
        <v>631</v>
      </c>
      <c r="BO41" s="8"/>
      <c r="BQ41" s="3"/>
      <c r="BS41" s="323"/>
      <c r="BX41" s="61"/>
      <c r="BY41" s="61"/>
      <c r="BZ41" s="61"/>
      <c r="CA41" s="61"/>
      <c r="CB41" s="61"/>
      <c r="CC41" s="61"/>
    </row>
    <row r="42" spans="1:79" ht="15.75">
      <c r="A42" s="79" t="s">
        <v>500</v>
      </c>
      <c r="B42" s="79"/>
      <c r="C42" s="79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X42" s="8"/>
      <c r="Y42" s="8"/>
      <c r="Z42" s="8"/>
      <c r="AA42" s="8"/>
      <c r="AB42" s="8"/>
      <c r="AC42" s="325"/>
      <c r="AD42" s="8"/>
      <c r="AE42" s="8"/>
      <c r="AF42" s="8"/>
      <c r="AG42" s="8"/>
      <c r="AH42" s="8"/>
      <c r="AI42" s="8"/>
      <c r="AJ42" s="279"/>
      <c r="AK42" s="8"/>
      <c r="AL42" s="8"/>
      <c r="AW42" s="91" t="s">
        <v>36</v>
      </c>
      <c r="AX42" s="53">
        <f>Y74</f>
        <v>120</v>
      </c>
      <c r="AY42" s="50" t="s">
        <v>36</v>
      </c>
      <c r="AZ42" s="49">
        <f>B55</f>
        <v>538</v>
      </c>
      <c r="BA42" s="50" t="s">
        <v>39</v>
      </c>
      <c r="BB42" s="49">
        <f>I56</f>
        <v>90</v>
      </c>
      <c r="BC42" s="50" t="s">
        <v>39</v>
      </c>
      <c r="BD42" s="49">
        <f>J56</f>
        <v>46</v>
      </c>
      <c r="BE42" s="50" t="s">
        <v>46</v>
      </c>
      <c r="BF42" s="49">
        <f>AA75</f>
        <v>161</v>
      </c>
      <c r="BG42" s="50" t="s">
        <v>40</v>
      </c>
      <c r="BH42" s="49">
        <f>133/(549+133)*100</f>
        <v>19.501466275659823</v>
      </c>
      <c r="BI42" s="50" t="s">
        <v>39</v>
      </c>
      <c r="BJ42" s="321">
        <f>AC56</f>
        <v>71.2542328042328</v>
      </c>
      <c r="BK42" s="50" t="s">
        <v>38</v>
      </c>
      <c r="BL42" s="326">
        <f>AD57</f>
        <v>6.104690522243714</v>
      </c>
      <c r="BM42" s="49" t="s">
        <v>38</v>
      </c>
      <c r="BN42" s="234">
        <f>W57</f>
        <v>652</v>
      </c>
      <c r="BQ42" s="3"/>
      <c r="BS42" s="323"/>
      <c r="BX42" s="84"/>
      <c r="CA42" s="84"/>
    </row>
    <row r="43" spans="1:79" ht="12" customHeight="1">
      <c r="A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279"/>
      <c r="AJ43" s="8"/>
      <c r="AK43" s="8"/>
      <c r="AL43" s="8"/>
      <c r="AM43" s="8"/>
      <c r="AN43" s="9"/>
      <c r="AO43" s="9"/>
      <c r="AP43" s="8"/>
      <c r="AW43" s="91" t="s">
        <v>42</v>
      </c>
      <c r="AX43" s="53">
        <f>Y81</f>
        <v>108</v>
      </c>
      <c r="AY43" s="50" t="s">
        <v>41</v>
      </c>
      <c r="AZ43" s="49">
        <f>B59</f>
        <v>496</v>
      </c>
      <c r="BA43" s="50" t="s">
        <v>36</v>
      </c>
      <c r="BB43" s="49">
        <f>I55</f>
        <v>93</v>
      </c>
      <c r="BC43" s="50" t="s">
        <v>37</v>
      </c>
      <c r="BD43" s="49">
        <f>J62</f>
        <v>48</v>
      </c>
      <c r="BE43" s="50" t="s">
        <v>41</v>
      </c>
      <c r="BF43" s="49">
        <f>'[1]CLASSIFICA'!AA80</f>
        <v>161</v>
      </c>
      <c r="BG43" s="50" t="s">
        <v>37</v>
      </c>
      <c r="BH43" s="49">
        <f>129/(529+129)*100</f>
        <v>19.6048632218845</v>
      </c>
      <c r="BI43" s="50" t="s">
        <v>41</v>
      </c>
      <c r="BJ43" s="321">
        <f>AC59</f>
        <v>70.89153439153439</v>
      </c>
      <c r="BK43" s="50" t="s">
        <v>189</v>
      </c>
      <c r="BL43" s="326">
        <f>AD59</f>
        <v>6.097074468085107</v>
      </c>
      <c r="BM43" s="49" t="s">
        <v>46</v>
      </c>
      <c r="BN43" s="234">
        <f>W60</f>
        <v>650</v>
      </c>
      <c r="BO43" s="8"/>
      <c r="BQ43" s="3"/>
      <c r="BS43" s="323"/>
      <c r="BX43" s="84"/>
      <c r="CA43" s="84"/>
    </row>
    <row r="44" spans="1:79" ht="12" customHeight="1">
      <c r="A44" s="8"/>
      <c r="G44" s="8"/>
      <c r="H44" s="8" t="s">
        <v>308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79"/>
      <c r="AK44" s="8"/>
      <c r="AL44" s="8"/>
      <c r="AM44" s="8"/>
      <c r="AN44" s="9"/>
      <c r="AO44" s="9"/>
      <c r="AP44" s="8"/>
      <c r="AW44" s="91" t="s">
        <v>41</v>
      </c>
      <c r="AX44" s="53">
        <f>Y80</f>
        <v>100</v>
      </c>
      <c r="AY44" s="50" t="s">
        <v>42</v>
      </c>
      <c r="AZ44" s="49">
        <f>B58</f>
        <v>489</v>
      </c>
      <c r="BA44" s="50" t="s">
        <v>42</v>
      </c>
      <c r="BB44" s="49">
        <f>I58</f>
        <v>89</v>
      </c>
      <c r="BC44" s="50" t="s">
        <v>36</v>
      </c>
      <c r="BD44" s="49">
        <f>J55</f>
        <v>41</v>
      </c>
      <c r="BE44" s="50" t="s">
        <v>42</v>
      </c>
      <c r="BF44" s="49">
        <f>AA81</f>
        <v>159</v>
      </c>
      <c r="BG44" s="50" t="s">
        <v>42</v>
      </c>
      <c r="BH44" s="49">
        <f>159/(623+159)*100</f>
        <v>20.33248081841432</v>
      </c>
      <c r="BI44" s="50" t="s">
        <v>42</v>
      </c>
      <c r="BJ44" s="321">
        <f>AC58</f>
        <v>70.59656084656085</v>
      </c>
      <c r="BK44" s="50" t="s">
        <v>42</v>
      </c>
      <c r="BL44" s="326">
        <f>AD58</f>
        <v>6.081496730443207</v>
      </c>
      <c r="BM44" s="49" t="s">
        <v>42</v>
      </c>
      <c r="BN44" s="234">
        <f>W58</f>
        <v>665</v>
      </c>
      <c r="BO44" s="8"/>
      <c r="BQ44" s="3"/>
      <c r="BS44" s="323"/>
      <c r="BX44" s="61"/>
      <c r="CA44" s="61"/>
    </row>
    <row r="45" spans="1:79" ht="12" customHeight="1">
      <c r="A45" s="8"/>
      <c r="B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279"/>
      <c r="AJ45" s="8"/>
      <c r="AK45" s="8"/>
      <c r="AL45" s="8"/>
      <c r="AM45" s="8"/>
      <c r="AN45" s="9"/>
      <c r="AO45" s="9"/>
      <c r="AP45" s="8"/>
      <c r="AW45" s="91" t="s">
        <v>40</v>
      </c>
      <c r="AX45" s="53">
        <f>Y79</f>
        <v>92</v>
      </c>
      <c r="AY45" s="50" t="s">
        <v>46</v>
      </c>
      <c r="AZ45" s="49">
        <f>B60</f>
        <v>486</v>
      </c>
      <c r="BA45" s="50" t="s">
        <v>40</v>
      </c>
      <c r="BB45" s="49">
        <f>I61</f>
        <v>83</v>
      </c>
      <c r="BC45" s="50" t="s">
        <v>189</v>
      </c>
      <c r="BD45" s="49">
        <f>J59</f>
        <v>41</v>
      </c>
      <c r="BE45" s="50" t="s">
        <v>36</v>
      </c>
      <c r="BF45" s="49">
        <f>AA74</f>
        <v>153</v>
      </c>
      <c r="BG45" s="50" t="s">
        <v>39</v>
      </c>
      <c r="BH45" s="49">
        <f>169/(619+169)*100</f>
        <v>21.446700507614214</v>
      </c>
      <c r="BI45" s="50" t="s">
        <v>46</v>
      </c>
      <c r="BJ45" s="321">
        <f>AC60</f>
        <v>70.31481481481481</v>
      </c>
      <c r="BK45" s="50" t="s">
        <v>46</v>
      </c>
      <c r="BL45" s="326">
        <f>AD60</f>
        <v>6.070559610705596</v>
      </c>
      <c r="BM45" s="49" t="s">
        <v>41</v>
      </c>
      <c r="BN45" s="234">
        <f>W59</f>
        <v>673</v>
      </c>
      <c r="BO45" s="8"/>
      <c r="BQ45" s="3"/>
      <c r="BS45" s="323"/>
      <c r="BX45" s="61"/>
      <c r="CA45" s="61"/>
    </row>
    <row r="46" spans="1:79" ht="12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79"/>
      <c r="AK46" s="8"/>
      <c r="AL46" s="8"/>
      <c r="AM46" s="8"/>
      <c r="AN46" s="9"/>
      <c r="AO46" s="9"/>
      <c r="AP46" s="8"/>
      <c r="AW46" s="91" t="s">
        <v>46</v>
      </c>
      <c r="AX46" s="53">
        <f>Y75</f>
        <v>87</v>
      </c>
      <c r="AY46" s="50" t="s">
        <v>40</v>
      </c>
      <c r="AZ46" s="49">
        <f>B61</f>
        <v>471</v>
      </c>
      <c r="BA46" s="50" t="s">
        <v>46</v>
      </c>
      <c r="BB46" s="49">
        <f>I60</f>
        <v>79</v>
      </c>
      <c r="BC46" s="50" t="s">
        <v>42</v>
      </c>
      <c r="BD46" s="49">
        <f>J58</f>
        <v>37</v>
      </c>
      <c r="BE46" s="50" t="s">
        <v>40</v>
      </c>
      <c r="BF46" s="49">
        <f>AA79</f>
        <v>133</v>
      </c>
      <c r="BG46" s="50" t="s">
        <v>46</v>
      </c>
      <c r="BH46" s="49">
        <f>161/(585+161)*100</f>
        <v>21.58176943699732</v>
      </c>
      <c r="BI46" s="50" t="s">
        <v>40</v>
      </c>
      <c r="BJ46" s="321">
        <f>AC61</f>
        <v>70.03121693121693</v>
      </c>
      <c r="BK46" s="50" t="s">
        <v>40</v>
      </c>
      <c r="BL46" s="326">
        <f>AD61</f>
        <v>6.064922480620155</v>
      </c>
      <c r="BM46" s="49" t="s">
        <v>39</v>
      </c>
      <c r="BN46" s="234">
        <f>W56</f>
        <v>674</v>
      </c>
      <c r="BO46" s="8"/>
      <c r="BQ46" s="3"/>
      <c r="BS46" s="323"/>
      <c r="BX46" s="61"/>
      <c r="CA46" s="61"/>
    </row>
    <row r="47" spans="1:79" ht="12" customHeight="1" thickBo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79"/>
      <c r="AK47" s="8"/>
      <c r="AL47" s="8"/>
      <c r="AM47" s="8"/>
      <c r="AN47" s="9"/>
      <c r="AO47" s="9"/>
      <c r="AP47" s="8"/>
      <c r="AW47" s="95" t="s">
        <v>37</v>
      </c>
      <c r="AX47" s="98">
        <f>Y76</f>
        <v>50</v>
      </c>
      <c r="AY47" s="97" t="s">
        <v>37</v>
      </c>
      <c r="AZ47" s="96">
        <f>B62</f>
        <v>429</v>
      </c>
      <c r="BA47" s="97" t="s">
        <v>37</v>
      </c>
      <c r="BB47" s="96">
        <f>I62</f>
        <v>78</v>
      </c>
      <c r="BC47" s="97" t="s">
        <v>38</v>
      </c>
      <c r="BD47" s="96">
        <f>J57</f>
        <v>37</v>
      </c>
      <c r="BE47" s="97" t="s">
        <v>37</v>
      </c>
      <c r="BF47" s="96">
        <f>AA76</f>
        <v>129</v>
      </c>
      <c r="BG47" s="97" t="s">
        <v>189</v>
      </c>
      <c r="BH47" s="96">
        <f>161/(582+161)*100</f>
        <v>21.668909825033648</v>
      </c>
      <c r="BI47" s="97" t="s">
        <v>37</v>
      </c>
      <c r="BJ47" s="327">
        <f>AC62</f>
        <v>69.62301587301587</v>
      </c>
      <c r="BK47" s="97" t="s">
        <v>37</v>
      </c>
      <c r="BL47" s="328">
        <f>AD62</f>
        <v>6.067521367521367</v>
      </c>
      <c r="BM47" s="96" t="s">
        <v>37</v>
      </c>
      <c r="BN47" s="226">
        <f>W62</f>
        <v>677</v>
      </c>
      <c r="BO47" s="8"/>
      <c r="BQ47" s="3"/>
      <c r="BS47" s="329"/>
      <c r="BX47" s="61"/>
      <c r="CA47" s="61"/>
    </row>
    <row r="48" spans="1:79" ht="12" customHeight="1" thickBo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279"/>
      <c r="AJ48" s="8"/>
      <c r="AK48" s="8"/>
      <c r="AL48" s="8"/>
      <c r="AM48" s="8"/>
      <c r="AN48" s="9"/>
      <c r="AO48" s="9"/>
      <c r="AP48" s="8"/>
      <c r="AW48" s="8"/>
      <c r="AX48" s="8"/>
      <c r="AY48" s="49"/>
      <c r="AZ48" s="49"/>
      <c r="BA48" s="8"/>
      <c r="BB48" s="8"/>
      <c r="BC48" s="8"/>
      <c r="BD48" s="49"/>
      <c r="BE48" s="49"/>
      <c r="BF48" s="49"/>
      <c r="BG48" s="14"/>
      <c r="BH48" s="285"/>
      <c r="BI48" s="14"/>
      <c r="BJ48" s="14"/>
      <c r="BK48" s="49"/>
      <c r="BL48" s="49"/>
      <c r="BM48" s="49"/>
      <c r="BN48" s="49"/>
      <c r="BO48" s="49"/>
      <c r="BP48" s="61"/>
      <c r="BQ48" s="3"/>
      <c r="BR48" s="61"/>
      <c r="BX48" s="61"/>
      <c r="CA48" s="61"/>
    </row>
    <row r="49" spans="28:79" ht="12" customHeight="1">
      <c r="AB49" s="3">
        <v>13</v>
      </c>
      <c r="AC49" s="330">
        <f>AB49/9</f>
        <v>1.4444444444444444</v>
      </c>
      <c r="AW49" s="331" t="s">
        <v>309</v>
      </c>
      <c r="AX49" s="87"/>
      <c r="AY49" s="149" t="s">
        <v>310</v>
      </c>
      <c r="AZ49" s="87"/>
      <c r="BA49" s="149" t="s">
        <v>311</v>
      </c>
      <c r="BB49" s="14"/>
      <c r="BC49" s="150" t="s">
        <v>312</v>
      </c>
      <c r="BD49" s="87"/>
      <c r="BE49" s="149" t="s">
        <v>313</v>
      </c>
      <c r="BF49" s="88"/>
      <c r="BG49" s="149" t="s">
        <v>51</v>
      </c>
      <c r="BH49" s="332"/>
      <c r="BI49" s="149" t="s">
        <v>314</v>
      </c>
      <c r="BJ49" s="87"/>
      <c r="BK49" s="86" t="s">
        <v>315</v>
      </c>
      <c r="BL49" s="285"/>
      <c r="BM49" s="86" t="s">
        <v>316</v>
      </c>
      <c r="BN49" s="223"/>
      <c r="BO49" s="8"/>
      <c r="BQ49" s="3"/>
      <c r="BR49" s="61"/>
      <c r="BX49" s="61"/>
      <c r="CA49" s="61"/>
    </row>
    <row r="50" spans="29:79" ht="12" customHeight="1">
      <c r="AC50" s="3"/>
      <c r="AI50" s="4"/>
      <c r="AJ50" s="3"/>
      <c r="AW50" s="333" t="s">
        <v>317</v>
      </c>
      <c r="AX50" s="203"/>
      <c r="AY50" s="334" t="s">
        <v>318</v>
      </c>
      <c r="AZ50" s="203"/>
      <c r="BA50" s="204"/>
      <c r="BB50" s="206"/>
      <c r="BC50" s="245"/>
      <c r="BD50" s="203"/>
      <c r="BE50" s="334" t="s">
        <v>319</v>
      </c>
      <c r="BF50" s="203"/>
      <c r="BG50" s="204"/>
      <c r="BH50" s="206"/>
      <c r="BI50" s="204"/>
      <c r="BJ50" s="203"/>
      <c r="BK50" s="204"/>
      <c r="BL50" s="193"/>
      <c r="BM50" s="204"/>
      <c r="BN50" s="228"/>
      <c r="BO50" s="8"/>
      <c r="BQ50" s="3"/>
      <c r="BR50" s="61"/>
      <c r="BX50" s="61"/>
      <c r="CA50" s="61"/>
    </row>
    <row r="51" spans="29:79" ht="12" customHeight="1" thickBot="1">
      <c r="AC51" s="330" t="e">
        <f>AB23/12</f>
        <v>#VALUE!</v>
      </c>
      <c r="AW51" s="91" t="s">
        <v>154</v>
      </c>
      <c r="AX51" s="49">
        <v>71</v>
      </c>
      <c r="AY51" s="335" t="s">
        <v>320</v>
      </c>
      <c r="AZ51" s="49">
        <v>39</v>
      </c>
      <c r="BA51" s="50" t="s">
        <v>248</v>
      </c>
      <c r="BB51" s="49">
        <v>23</v>
      </c>
      <c r="BC51" s="50" t="s">
        <v>321</v>
      </c>
      <c r="BD51" s="49">
        <v>39</v>
      </c>
      <c r="BE51" s="50" t="s">
        <v>322</v>
      </c>
      <c r="BF51" s="49">
        <v>8</v>
      </c>
      <c r="BG51" s="50" t="s">
        <v>262</v>
      </c>
      <c r="BH51" s="49">
        <v>290</v>
      </c>
      <c r="BI51" s="50" t="s">
        <v>248</v>
      </c>
      <c r="BJ51" s="49">
        <v>149</v>
      </c>
      <c r="BK51" s="50" t="s">
        <v>38</v>
      </c>
      <c r="BL51" s="49">
        <f>BC77</f>
        <v>56</v>
      </c>
      <c r="BM51" s="92" t="s">
        <v>38</v>
      </c>
      <c r="BN51" s="234">
        <f>V77</f>
        <v>298</v>
      </c>
      <c r="BQ51" s="3"/>
      <c r="BR51" s="61"/>
      <c r="BX51" s="61"/>
      <c r="CA51" s="61"/>
    </row>
    <row r="52" spans="1:81" ht="12" customHeight="1" thickBot="1">
      <c r="A52" s="12" t="s">
        <v>0</v>
      </c>
      <c r="B52" s="12" t="s">
        <v>1</v>
      </c>
      <c r="C52" s="8"/>
      <c r="D52" s="13" t="s">
        <v>2</v>
      </c>
      <c r="E52" s="14"/>
      <c r="F52" s="14"/>
      <c r="G52" s="15"/>
      <c r="H52" s="13" t="s">
        <v>3</v>
      </c>
      <c r="I52" s="14"/>
      <c r="J52" s="14"/>
      <c r="K52" s="15"/>
      <c r="L52" s="16" t="s">
        <v>4</v>
      </c>
      <c r="M52" s="10"/>
      <c r="N52" s="10"/>
      <c r="O52" s="11"/>
      <c r="P52" s="17" t="s">
        <v>5</v>
      </c>
      <c r="Q52" s="18"/>
      <c r="R52" s="18"/>
      <c r="S52" s="18"/>
      <c r="T52" s="18"/>
      <c r="U52" s="19"/>
      <c r="V52" s="13" t="s">
        <v>6</v>
      </c>
      <c r="W52" s="15"/>
      <c r="X52" s="17" t="s">
        <v>7</v>
      </c>
      <c r="Y52" s="18"/>
      <c r="Z52" s="18"/>
      <c r="AA52" s="18"/>
      <c r="AB52" s="19"/>
      <c r="AC52" s="21" t="s">
        <v>9</v>
      </c>
      <c r="AD52" s="20" t="s">
        <v>8</v>
      </c>
      <c r="AE52" s="3" t="s">
        <v>10</v>
      </c>
      <c r="AI52" s="3" t="s">
        <v>323</v>
      </c>
      <c r="AK52" s="3" t="s">
        <v>324</v>
      </c>
      <c r="AW52" s="91" t="s">
        <v>229</v>
      </c>
      <c r="AX52" s="49">
        <v>61</v>
      </c>
      <c r="AY52" s="335" t="s">
        <v>325</v>
      </c>
      <c r="AZ52" s="49">
        <v>34</v>
      </c>
      <c r="BA52" s="50" t="s">
        <v>321</v>
      </c>
      <c r="BB52" s="49">
        <v>20</v>
      </c>
      <c r="BC52" s="50" t="s">
        <v>248</v>
      </c>
      <c r="BD52" s="49">
        <v>36</v>
      </c>
      <c r="BE52" s="50" t="s">
        <v>248</v>
      </c>
      <c r="BF52" s="49">
        <v>7</v>
      </c>
      <c r="BG52" s="50" t="s">
        <v>326</v>
      </c>
      <c r="BH52" s="49">
        <v>274</v>
      </c>
      <c r="BI52" s="50" t="s">
        <v>327</v>
      </c>
      <c r="BJ52" s="49">
        <v>148</v>
      </c>
      <c r="BK52" s="50" t="s">
        <v>36</v>
      </c>
      <c r="BL52" s="49">
        <f>'[1]CLASSIFICA'!BC74</f>
        <v>57</v>
      </c>
      <c r="BM52" s="50" t="s">
        <v>41</v>
      </c>
      <c r="BN52" s="234">
        <f>V80</f>
        <v>313</v>
      </c>
      <c r="BQ52" s="3"/>
      <c r="BR52" s="61"/>
      <c r="BV52" s="61"/>
      <c r="BW52" s="61"/>
      <c r="BX52" s="61"/>
      <c r="BY52" s="61"/>
      <c r="BZ52" s="61"/>
      <c r="CA52" s="61"/>
      <c r="CB52" s="61"/>
      <c r="CC52" s="61"/>
    </row>
    <row r="53" spans="1:75" ht="12" customHeight="1" thickBot="1">
      <c r="A53" s="23"/>
      <c r="B53" s="23"/>
      <c r="C53" s="8"/>
      <c r="D53" s="24"/>
      <c r="E53" s="25"/>
      <c r="F53" s="25"/>
      <c r="G53" s="26"/>
      <c r="H53" s="24"/>
      <c r="I53" s="25"/>
      <c r="J53" s="25"/>
      <c r="K53" s="26"/>
      <c r="L53" s="27"/>
      <c r="M53" s="28"/>
      <c r="N53" s="28"/>
      <c r="O53" s="29"/>
      <c r="P53" s="25" t="s">
        <v>19</v>
      </c>
      <c r="Q53" s="30"/>
      <c r="R53" s="31" t="s">
        <v>3</v>
      </c>
      <c r="S53" s="32"/>
      <c r="T53" s="25" t="s">
        <v>328</v>
      </c>
      <c r="U53" s="26"/>
      <c r="V53" s="24" t="s">
        <v>20</v>
      </c>
      <c r="W53" s="26"/>
      <c r="X53" s="24" t="s">
        <v>21</v>
      </c>
      <c r="Y53" s="30"/>
      <c r="Z53" s="25" t="s">
        <v>22</v>
      </c>
      <c r="AA53" s="30"/>
      <c r="AB53" s="12" t="s">
        <v>23</v>
      </c>
      <c r="AC53" s="34"/>
      <c r="AD53" s="33"/>
      <c r="AW53" s="91" t="s">
        <v>329</v>
      </c>
      <c r="AX53" s="49">
        <v>60</v>
      </c>
      <c r="AY53" s="335" t="s">
        <v>330</v>
      </c>
      <c r="AZ53" s="49">
        <v>31</v>
      </c>
      <c r="BA53" s="50" t="s">
        <v>331</v>
      </c>
      <c r="BB53" s="49">
        <v>19</v>
      </c>
      <c r="BC53" s="50" t="s">
        <v>331</v>
      </c>
      <c r="BD53" s="49">
        <v>35</v>
      </c>
      <c r="BE53" s="50" t="s">
        <v>332</v>
      </c>
      <c r="BF53" s="49">
        <v>6</v>
      </c>
      <c r="BG53" s="50" t="s">
        <v>321</v>
      </c>
      <c r="BH53" s="49">
        <v>254</v>
      </c>
      <c r="BI53" s="50" t="s">
        <v>331</v>
      </c>
      <c r="BJ53" s="49">
        <v>111</v>
      </c>
      <c r="BK53" s="50" t="s">
        <v>46</v>
      </c>
      <c r="BL53" s="49">
        <f>BC75</f>
        <v>67</v>
      </c>
      <c r="BM53" s="50" t="s">
        <v>42</v>
      </c>
      <c r="BN53" s="234">
        <f>V81</f>
        <v>323.5</v>
      </c>
      <c r="BQ53" s="3"/>
      <c r="BR53" s="99"/>
      <c r="BS53" s="99"/>
      <c r="BT53" s="99"/>
      <c r="BU53" s="99"/>
      <c r="BV53" s="99"/>
      <c r="BW53" s="99"/>
    </row>
    <row r="54" spans="1:73" ht="12" customHeight="1" thickBot="1">
      <c r="A54" s="39"/>
      <c r="B54" s="39"/>
      <c r="C54" s="8"/>
      <c r="D54" s="39" t="s">
        <v>28</v>
      </c>
      <c r="E54" s="39" t="s">
        <v>29</v>
      </c>
      <c r="F54" s="39" t="s">
        <v>30</v>
      </c>
      <c r="G54" s="39" t="s">
        <v>1</v>
      </c>
      <c r="H54" s="39" t="s">
        <v>28</v>
      </c>
      <c r="I54" s="39" t="s">
        <v>29</v>
      </c>
      <c r="J54" s="336" t="s">
        <v>30</v>
      </c>
      <c r="K54" s="39" t="s">
        <v>1</v>
      </c>
      <c r="L54" s="39" t="s">
        <v>28</v>
      </c>
      <c r="M54" s="39" t="s">
        <v>29</v>
      </c>
      <c r="N54" s="39" t="s">
        <v>30</v>
      </c>
      <c r="O54" s="39" t="s">
        <v>1</v>
      </c>
      <c r="P54" s="39" t="s">
        <v>31</v>
      </c>
      <c r="Q54" s="39" t="s">
        <v>32</v>
      </c>
      <c r="R54" s="39" t="s">
        <v>31</v>
      </c>
      <c r="S54" s="39" t="s">
        <v>32</v>
      </c>
      <c r="T54" s="39" t="s">
        <v>31</v>
      </c>
      <c r="U54" s="39" t="s">
        <v>32</v>
      </c>
      <c r="V54" s="39" t="s">
        <v>31</v>
      </c>
      <c r="W54" s="39" t="s">
        <v>32</v>
      </c>
      <c r="X54" s="39" t="s">
        <v>33</v>
      </c>
      <c r="Y54" s="39" t="s">
        <v>34</v>
      </c>
      <c r="Z54" s="39" t="s">
        <v>33</v>
      </c>
      <c r="AA54" s="39" t="s">
        <v>34</v>
      </c>
      <c r="AB54" s="23" t="s">
        <v>35</v>
      </c>
      <c r="AC54" s="41"/>
      <c r="AD54" s="40"/>
      <c r="AW54" s="91" t="s">
        <v>333</v>
      </c>
      <c r="AX54" s="49">
        <v>50</v>
      </c>
      <c r="AY54" s="335" t="s">
        <v>334</v>
      </c>
      <c r="AZ54" s="49">
        <v>29</v>
      </c>
      <c r="BA54" s="50" t="s">
        <v>329</v>
      </c>
      <c r="BB54" s="49">
        <v>17</v>
      </c>
      <c r="BC54" s="50" t="s">
        <v>335</v>
      </c>
      <c r="BD54" s="49">
        <v>35</v>
      </c>
      <c r="BE54" s="50" t="s">
        <v>336</v>
      </c>
      <c r="BF54" s="49">
        <v>6</v>
      </c>
      <c r="BG54" s="50" t="s">
        <v>248</v>
      </c>
      <c r="BH54" s="49">
        <v>249</v>
      </c>
      <c r="BI54" s="50" t="s">
        <v>337</v>
      </c>
      <c r="BJ54" s="49">
        <v>91</v>
      </c>
      <c r="BK54" s="50" t="s">
        <v>39</v>
      </c>
      <c r="BL54" s="49">
        <f>BC78</f>
        <v>67</v>
      </c>
      <c r="BM54" s="50" t="s">
        <v>46</v>
      </c>
      <c r="BN54" s="234">
        <f>V75</f>
        <v>325</v>
      </c>
      <c r="BQ54" s="3"/>
      <c r="BU54" s="83"/>
    </row>
    <row r="55" spans="1:73" ht="12" customHeight="1">
      <c r="A55" s="43" t="s">
        <v>36</v>
      </c>
      <c r="B55" s="208">
        <f>B4+487</f>
        <v>538</v>
      </c>
      <c r="C55" s="8"/>
      <c r="D55" s="208">
        <f>D4+350</f>
        <v>378</v>
      </c>
      <c r="E55" s="208">
        <f>E4+145</f>
        <v>159</v>
      </c>
      <c r="F55" s="208">
        <f>F4+81</f>
        <v>90</v>
      </c>
      <c r="G55" s="208">
        <f>G4+124</f>
        <v>129</v>
      </c>
      <c r="H55" s="208">
        <f>H4+175</f>
        <v>189</v>
      </c>
      <c r="I55" s="208">
        <f>I4+83</f>
        <v>93</v>
      </c>
      <c r="J55" s="208">
        <f>J4+40</f>
        <v>41</v>
      </c>
      <c r="K55" s="208">
        <f>K4+52</f>
        <v>55</v>
      </c>
      <c r="L55" s="208">
        <f>L4+175</f>
        <v>189</v>
      </c>
      <c r="M55" s="208">
        <f>M4+62</f>
        <v>66</v>
      </c>
      <c r="N55" s="208">
        <f>N4+41</f>
        <v>49</v>
      </c>
      <c r="O55" s="208">
        <f>O4+72</f>
        <v>74</v>
      </c>
      <c r="P55" s="208">
        <f>P4+573</f>
        <v>619</v>
      </c>
      <c r="Q55" s="208">
        <f>Q4+517</f>
        <v>549</v>
      </c>
      <c r="R55" s="208">
        <f>R4+309</f>
        <v>338</v>
      </c>
      <c r="S55" s="208">
        <f>S4+227</f>
        <v>241</v>
      </c>
      <c r="T55" s="208">
        <f>T4+264</f>
        <v>281</v>
      </c>
      <c r="U55" s="208">
        <f>U4+290</f>
        <v>308</v>
      </c>
      <c r="V55" s="208">
        <f>V4+674</f>
        <v>726</v>
      </c>
      <c r="W55" s="208">
        <f>W4+595</f>
        <v>631</v>
      </c>
      <c r="X55" s="208">
        <f>X4+128</f>
        <v>136</v>
      </c>
      <c r="Y55" s="208">
        <f>Y4+93</f>
        <v>98</v>
      </c>
      <c r="Z55" s="208">
        <f>Z4+118</f>
        <v>121</v>
      </c>
      <c r="AA55" s="208">
        <f>AA4+86</f>
        <v>89</v>
      </c>
      <c r="AB55" s="337">
        <f>AB4+8</f>
        <v>9</v>
      </c>
      <c r="AC55" s="338">
        <f aca="true" t="shared" si="1" ref="AC55:AC63">AE55/D55</f>
        <v>71.48756613756613</v>
      </c>
      <c r="AD55" s="339">
        <f aca="true" t="shared" si="2" ref="AD55:AD63">AI55/AK55</f>
        <v>6.101986434108527</v>
      </c>
      <c r="AE55" s="340">
        <f>AF4+25037.3</f>
        <v>27022.3</v>
      </c>
      <c r="AF55" s="341"/>
      <c r="AG55" s="43" t="s">
        <v>36</v>
      </c>
      <c r="AH55" s="341"/>
      <c r="AI55" s="341">
        <f>AH4+23324.5</f>
        <v>25189</v>
      </c>
      <c r="AK55" s="341">
        <f>AK4+3820</f>
        <v>4128</v>
      </c>
      <c r="AW55" s="91" t="s">
        <v>338</v>
      </c>
      <c r="AX55" s="49">
        <v>50</v>
      </c>
      <c r="AY55" s="335" t="s">
        <v>339</v>
      </c>
      <c r="AZ55" s="49">
        <v>26</v>
      </c>
      <c r="BA55" s="50" t="s">
        <v>340</v>
      </c>
      <c r="BB55" s="49">
        <v>16</v>
      </c>
      <c r="BC55" s="50" t="s">
        <v>338</v>
      </c>
      <c r="BD55" s="49">
        <v>30</v>
      </c>
      <c r="BE55" s="50" t="s">
        <v>341</v>
      </c>
      <c r="BF55" s="49">
        <v>6</v>
      </c>
      <c r="BG55" s="50" t="s">
        <v>342</v>
      </c>
      <c r="BH55" s="49">
        <v>238</v>
      </c>
      <c r="BI55" s="263" t="s">
        <v>343</v>
      </c>
      <c r="BJ55" s="49">
        <v>90</v>
      </c>
      <c r="BK55" s="50" t="s">
        <v>41</v>
      </c>
      <c r="BL55" s="49">
        <f>BC80</f>
        <v>70</v>
      </c>
      <c r="BM55" s="50" t="s">
        <v>36</v>
      </c>
      <c r="BN55" s="234">
        <f>V74</f>
        <v>328.5</v>
      </c>
      <c r="BQ55" s="3"/>
      <c r="BU55" s="83"/>
    </row>
    <row r="56" spans="1:73" ht="12" customHeight="1">
      <c r="A56" s="43" t="s">
        <v>39</v>
      </c>
      <c r="B56" s="208">
        <f>B8+503</f>
        <v>539</v>
      </c>
      <c r="C56" s="8"/>
      <c r="D56" s="208">
        <f aca="true" t="shared" si="3" ref="D56:D62">D5+350</f>
        <v>378</v>
      </c>
      <c r="E56" s="208">
        <f>E8+152</f>
        <v>163</v>
      </c>
      <c r="F56" s="208">
        <f>F8+79</f>
        <v>82</v>
      </c>
      <c r="G56" s="208">
        <f>G8+119</f>
        <v>133</v>
      </c>
      <c r="H56" s="208">
        <f aca="true" t="shared" si="4" ref="H56:H62">H5+175</f>
        <v>189</v>
      </c>
      <c r="I56" s="208">
        <f>I8+83</f>
        <v>90</v>
      </c>
      <c r="J56" s="208">
        <f>J8+44</f>
        <v>46</v>
      </c>
      <c r="K56" s="208">
        <f>K8+48</f>
        <v>53</v>
      </c>
      <c r="L56" s="208">
        <f aca="true" t="shared" si="5" ref="L56:L62">L5+175</f>
        <v>189</v>
      </c>
      <c r="M56" s="208">
        <f>M8+69</f>
        <v>73</v>
      </c>
      <c r="N56" s="208">
        <f>N8+35</f>
        <v>36</v>
      </c>
      <c r="O56" s="208">
        <f>O8+71</f>
        <v>80</v>
      </c>
      <c r="P56" s="208">
        <f>P8+564</f>
        <v>608</v>
      </c>
      <c r="Q56" s="208">
        <f>Q8+534</f>
        <v>587</v>
      </c>
      <c r="R56" s="208">
        <f>R8+309</f>
        <v>331</v>
      </c>
      <c r="S56" s="208">
        <f>S8+253</f>
        <v>272</v>
      </c>
      <c r="T56" s="208">
        <f>T8+255</f>
        <v>277</v>
      </c>
      <c r="U56" s="208">
        <f>U8+281</f>
        <v>315</v>
      </c>
      <c r="V56" s="208">
        <f>V8+619</f>
        <v>668</v>
      </c>
      <c r="W56" s="208">
        <f>W8+617</f>
        <v>674</v>
      </c>
      <c r="X56" s="208">
        <f>X8+114</f>
        <v>122</v>
      </c>
      <c r="Y56" s="208">
        <f>Y8+92</f>
        <v>97</v>
      </c>
      <c r="Z56" s="208">
        <f>Z8+100</f>
        <v>107</v>
      </c>
      <c r="AA56" s="208">
        <f>AA8+70</f>
        <v>75</v>
      </c>
      <c r="AB56" s="337">
        <f>AB8+11</f>
        <v>13</v>
      </c>
      <c r="AC56" s="338">
        <f t="shared" si="1"/>
        <v>71.2542328042328</v>
      </c>
      <c r="AD56" s="342">
        <f t="shared" si="2"/>
        <v>6.126546954622665</v>
      </c>
      <c r="AE56" s="340">
        <f>AF8+24944.1</f>
        <v>26934.1</v>
      </c>
      <c r="AF56" s="61"/>
      <c r="AG56" s="43" t="s">
        <v>39</v>
      </c>
      <c r="AH56" s="61"/>
      <c r="AI56" s="3">
        <f>AH8+23363</f>
        <v>25247.5</v>
      </c>
      <c r="AK56" s="3">
        <f>AK8+3813</f>
        <v>4121</v>
      </c>
      <c r="AW56" s="91" t="s">
        <v>344</v>
      </c>
      <c r="AX56" s="49">
        <v>50</v>
      </c>
      <c r="AY56" s="335" t="s">
        <v>345</v>
      </c>
      <c r="AZ56" s="49">
        <v>26</v>
      </c>
      <c r="BA56" s="50" t="s">
        <v>346</v>
      </c>
      <c r="BB56" s="49">
        <v>14</v>
      </c>
      <c r="BC56" s="50" t="s">
        <v>347</v>
      </c>
      <c r="BD56" s="49">
        <v>30</v>
      </c>
      <c r="BE56" s="50" t="s">
        <v>348</v>
      </c>
      <c r="BF56" s="49">
        <v>6</v>
      </c>
      <c r="BG56" s="50" t="s">
        <v>349</v>
      </c>
      <c r="BH56" s="49">
        <v>219</v>
      </c>
      <c r="BI56" s="50" t="s">
        <v>336</v>
      </c>
      <c r="BJ56" s="49">
        <v>88</v>
      </c>
      <c r="BK56" s="50" t="s">
        <v>42</v>
      </c>
      <c r="BL56" s="49">
        <f>BC81</f>
        <v>76</v>
      </c>
      <c r="BM56" s="50" t="s">
        <v>39</v>
      </c>
      <c r="BN56" s="234">
        <f>V78</f>
        <v>333</v>
      </c>
      <c r="BQ56" s="3"/>
      <c r="BR56" s="61"/>
      <c r="BU56" s="61"/>
    </row>
    <row r="57" spans="1:73" ht="12" customHeight="1">
      <c r="A57" s="43" t="s">
        <v>38</v>
      </c>
      <c r="B57" s="208">
        <f>B7+488</f>
        <v>524</v>
      </c>
      <c r="C57" s="8"/>
      <c r="D57" s="208">
        <f t="shared" si="3"/>
        <v>378</v>
      </c>
      <c r="E57" s="208">
        <f>E7+149</f>
        <v>158</v>
      </c>
      <c r="F57" s="208">
        <f>F7+72</f>
        <v>81</v>
      </c>
      <c r="G57" s="208">
        <f>G7+129</f>
        <v>139</v>
      </c>
      <c r="H57" s="208">
        <f t="shared" si="4"/>
        <v>189</v>
      </c>
      <c r="I57" s="208">
        <f>I7+88</f>
        <v>94</v>
      </c>
      <c r="J57" s="208">
        <f>J7+33</f>
        <v>37</v>
      </c>
      <c r="K57" s="208">
        <f>K7+54</f>
        <v>58</v>
      </c>
      <c r="L57" s="208">
        <f t="shared" si="5"/>
        <v>189</v>
      </c>
      <c r="M57" s="208">
        <f>M7+61</f>
        <v>64</v>
      </c>
      <c r="N57" s="208">
        <f>N7+39</f>
        <v>44</v>
      </c>
      <c r="O57" s="208">
        <f>O7+75</f>
        <v>81</v>
      </c>
      <c r="P57" s="208">
        <f>P7+589</f>
        <v>634</v>
      </c>
      <c r="Q57" s="208">
        <f>Q7+514</f>
        <v>557</v>
      </c>
      <c r="R57" s="208">
        <f>R7+326</f>
        <v>353</v>
      </c>
      <c r="S57" s="208">
        <f>S7+244</f>
        <v>264</v>
      </c>
      <c r="T57" s="208">
        <f>T7+263</f>
        <v>281</v>
      </c>
      <c r="U57" s="208">
        <f>U7+270</f>
        <v>293</v>
      </c>
      <c r="V57" s="208">
        <f>V7+696</f>
        <v>741</v>
      </c>
      <c r="W57" s="208">
        <f>W7+600</f>
        <v>652</v>
      </c>
      <c r="X57" s="208">
        <f>X7+135</f>
        <v>144</v>
      </c>
      <c r="Y57" s="208">
        <f>Y7+100</f>
        <v>109</v>
      </c>
      <c r="Z57" s="208">
        <f>Z7+118</f>
        <v>127</v>
      </c>
      <c r="AA57" s="208">
        <f>AA7+83</f>
        <v>89</v>
      </c>
      <c r="AB57" s="337">
        <f>AB7+5</f>
        <v>5</v>
      </c>
      <c r="AC57" s="338">
        <f t="shared" si="1"/>
        <v>71.64153439153439</v>
      </c>
      <c r="AD57" s="342">
        <f t="shared" si="2"/>
        <v>6.104690522243714</v>
      </c>
      <c r="AE57" s="340">
        <f>AF7+25089</f>
        <v>27080.5</v>
      </c>
      <c r="AG57" s="43" t="s">
        <v>38</v>
      </c>
      <c r="AI57" s="3">
        <f>AH7+23386</f>
        <v>25249</v>
      </c>
      <c r="AK57" s="3">
        <f>AK7+3830</f>
        <v>4136</v>
      </c>
      <c r="AW57" s="91"/>
      <c r="AX57" s="49"/>
      <c r="AY57" s="335" t="s">
        <v>350</v>
      </c>
      <c r="AZ57" s="49">
        <v>25</v>
      </c>
      <c r="BA57" s="50" t="s">
        <v>343</v>
      </c>
      <c r="BB57" s="49">
        <v>13</v>
      </c>
      <c r="BC57" s="50" t="s">
        <v>196</v>
      </c>
      <c r="BD57" s="49">
        <v>30</v>
      </c>
      <c r="BE57" s="50" t="s">
        <v>351</v>
      </c>
      <c r="BF57" s="49">
        <v>4</v>
      </c>
      <c r="BG57" s="50" t="s">
        <v>331</v>
      </c>
      <c r="BH57" s="49">
        <v>216</v>
      </c>
      <c r="BI57" s="50" t="s">
        <v>352</v>
      </c>
      <c r="BJ57" s="49">
        <v>85</v>
      </c>
      <c r="BK57" s="50" t="s">
        <v>40</v>
      </c>
      <c r="BL57" s="49">
        <f>BC79</f>
        <v>86</v>
      </c>
      <c r="BM57" s="50" t="s">
        <v>40</v>
      </c>
      <c r="BN57" s="234">
        <f>V79</f>
        <v>335.5</v>
      </c>
      <c r="BO57" s="8"/>
      <c r="BQ57" s="3"/>
      <c r="BR57" s="61"/>
      <c r="BU57" s="61"/>
    </row>
    <row r="58" spans="1:73" ht="12" customHeight="1" thickBot="1">
      <c r="A58" s="43" t="s">
        <v>42</v>
      </c>
      <c r="B58" s="208">
        <f>B11+458</f>
        <v>489</v>
      </c>
      <c r="C58" s="8"/>
      <c r="D58" s="208">
        <f t="shared" si="3"/>
        <v>378</v>
      </c>
      <c r="E58" s="208">
        <f>E11+137</f>
        <v>146</v>
      </c>
      <c r="F58" s="208">
        <f>F11+79</f>
        <v>83</v>
      </c>
      <c r="G58" s="208">
        <f>G11+134</f>
        <v>149</v>
      </c>
      <c r="H58" s="208">
        <f t="shared" si="4"/>
        <v>189</v>
      </c>
      <c r="I58" s="208">
        <f>I11+83</f>
        <v>89</v>
      </c>
      <c r="J58" s="208">
        <f>J11+35</f>
        <v>37</v>
      </c>
      <c r="K58" s="208">
        <f>K11+57</f>
        <v>63</v>
      </c>
      <c r="L58" s="208">
        <f t="shared" si="5"/>
        <v>189</v>
      </c>
      <c r="M58" s="208">
        <f>M11+54</f>
        <v>57</v>
      </c>
      <c r="N58" s="208">
        <f>N11+44</f>
        <v>46</v>
      </c>
      <c r="O58" s="208">
        <f>O11+77</f>
        <v>86</v>
      </c>
      <c r="P58" s="208">
        <f>P11+531</f>
        <v>563</v>
      </c>
      <c r="Q58" s="208">
        <f>Q11+532</f>
        <v>583</v>
      </c>
      <c r="R58" s="208">
        <f>R11+298</f>
        <v>316</v>
      </c>
      <c r="S58" s="208">
        <f>S11+225</f>
        <v>246</v>
      </c>
      <c r="T58" s="208">
        <f>T11+233</f>
        <v>247</v>
      </c>
      <c r="U58" s="208">
        <f>U11+307</f>
        <v>337</v>
      </c>
      <c r="V58" s="208">
        <f>V11+623</f>
        <v>659</v>
      </c>
      <c r="W58" s="208">
        <f>W11+612</f>
        <v>665</v>
      </c>
      <c r="X58" s="208">
        <f>X11+103</f>
        <v>109</v>
      </c>
      <c r="Y58" s="208">
        <f>Y11+71</f>
        <v>75</v>
      </c>
      <c r="Z58" s="208">
        <f>Z11+115</f>
        <v>122</v>
      </c>
      <c r="AA58" s="208">
        <f>AA11+89</f>
        <v>94</v>
      </c>
      <c r="AB58" s="337">
        <f>AB11+8</f>
        <v>8</v>
      </c>
      <c r="AC58" s="338">
        <f t="shared" si="1"/>
        <v>70.59656084656085</v>
      </c>
      <c r="AD58" s="342">
        <f t="shared" si="2"/>
        <v>6.081496730443207</v>
      </c>
      <c r="AE58" s="340">
        <f>AF11+24769.5</f>
        <v>26685.5</v>
      </c>
      <c r="AG58" s="43" t="s">
        <v>42</v>
      </c>
      <c r="AI58" s="3">
        <f>AH11+23276</f>
        <v>25110.5</v>
      </c>
      <c r="AK58" s="3">
        <f>AK11+3821</f>
        <v>4129</v>
      </c>
      <c r="AW58" s="343" t="s">
        <v>353</v>
      </c>
      <c r="AX58" s="96"/>
      <c r="AY58" s="344" t="s">
        <v>354</v>
      </c>
      <c r="AZ58" s="96">
        <v>19</v>
      </c>
      <c r="BA58" s="97" t="s">
        <v>355</v>
      </c>
      <c r="BB58" s="96">
        <v>13</v>
      </c>
      <c r="BC58" s="50" t="s">
        <v>340</v>
      </c>
      <c r="BD58" s="96">
        <v>29</v>
      </c>
      <c r="BE58" s="50" t="s">
        <v>337</v>
      </c>
      <c r="BF58" s="96">
        <v>4</v>
      </c>
      <c r="BG58" s="97" t="s">
        <v>347</v>
      </c>
      <c r="BH58" s="96">
        <v>214</v>
      </c>
      <c r="BI58" s="97" t="s">
        <v>341</v>
      </c>
      <c r="BJ58" s="96">
        <v>81</v>
      </c>
      <c r="BK58" s="97" t="s">
        <v>37</v>
      </c>
      <c r="BL58" s="96">
        <f>BC76</f>
        <v>91</v>
      </c>
      <c r="BM58" s="97" t="s">
        <v>37</v>
      </c>
      <c r="BN58" s="226">
        <f>V76</f>
        <v>347</v>
      </c>
      <c r="BO58" s="8"/>
      <c r="BQ58" s="3"/>
      <c r="BR58" s="61"/>
      <c r="BU58" s="61"/>
    </row>
    <row r="59" spans="1:73" ht="12" customHeight="1" thickBot="1">
      <c r="A59" s="43" t="s">
        <v>41</v>
      </c>
      <c r="B59" s="208">
        <f>B10+462</f>
        <v>496</v>
      </c>
      <c r="C59" s="8"/>
      <c r="D59" s="208">
        <f t="shared" si="3"/>
        <v>378</v>
      </c>
      <c r="E59" s="208">
        <f>E10+137</f>
        <v>146</v>
      </c>
      <c r="F59" s="208">
        <f>F10+77</f>
        <v>84</v>
      </c>
      <c r="G59" s="208">
        <f>G10+136</f>
        <v>148</v>
      </c>
      <c r="H59" s="208">
        <f t="shared" si="4"/>
        <v>189</v>
      </c>
      <c r="I59" s="208">
        <f>I10+85</f>
        <v>88</v>
      </c>
      <c r="J59" s="208">
        <f>J10+36</f>
        <v>41</v>
      </c>
      <c r="K59" s="208">
        <f>K10+54</f>
        <v>60</v>
      </c>
      <c r="L59" s="208">
        <f t="shared" si="5"/>
        <v>189</v>
      </c>
      <c r="M59" s="208">
        <f>M10+52</f>
        <v>58</v>
      </c>
      <c r="N59" s="208">
        <f>N10+41</f>
        <v>43</v>
      </c>
      <c r="O59" s="208">
        <f>O10+82</f>
        <v>88</v>
      </c>
      <c r="P59" s="208">
        <f>P10+542</f>
        <v>579</v>
      </c>
      <c r="Q59" s="208">
        <f>Q10+528</f>
        <v>578</v>
      </c>
      <c r="R59" s="208">
        <f>R10+307</f>
        <v>326</v>
      </c>
      <c r="S59" s="208">
        <f>S10+234</f>
        <v>257</v>
      </c>
      <c r="T59" s="208">
        <f>T10+235</f>
        <v>253</v>
      </c>
      <c r="U59" s="208">
        <f>U10+294</f>
        <v>321</v>
      </c>
      <c r="V59" s="208">
        <f>V10+582</f>
        <v>632</v>
      </c>
      <c r="W59" s="208">
        <f>W10+616</f>
        <v>673</v>
      </c>
      <c r="X59" s="208">
        <f>X10+117</f>
        <v>128</v>
      </c>
      <c r="Y59" s="208">
        <f>Y10+91</f>
        <v>98</v>
      </c>
      <c r="Z59" s="208">
        <f>Z10+101</f>
        <v>115</v>
      </c>
      <c r="AA59" s="208">
        <f>AA10+83</f>
        <v>95</v>
      </c>
      <c r="AB59" s="337">
        <f>AB10+10</f>
        <v>10</v>
      </c>
      <c r="AC59" s="338">
        <f t="shared" si="1"/>
        <v>70.89153439153439</v>
      </c>
      <c r="AD59" s="342">
        <f t="shared" si="2"/>
        <v>6.097074468085107</v>
      </c>
      <c r="AE59" s="340">
        <f>24852.5+AF10</f>
        <v>26797</v>
      </c>
      <c r="AG59" s="43" t="s">
        <v>41</v>
      </c>
      <c r="AI59" s="3">
        <f>AH10+23382</f>
        <v>25217.5</v>
      </c>
      <c r="AK59" s="3">
        <f>AK10+3830</f>
        <v>4136</v>
      </c>
      <c r="AW59" s="345"/>
      <c r="AX59" s="346"/>
      <c r="AY59" s="345"/>
      <c r="AZ59" s="345"/>
      <c r="BA59" s="345"/>
      <c r="BB59" s="345"/>
      <c r="BC59" s="346"/>
      <c r="BD59" s="346"/>
      <c r="BE59" s="346"/>
      <c r="BF59" s="346"/>
      <c r="BG59" s="346"/>
      <c r="BH59" s="346"/>
      <c r="BI59" s="346"/>
      <c r="BJ59" s="346"/>
      <c r="BL59" s="61"/>
      <c r="BN59" s="61"/>
      <c r="BP59" s="61"/>
      <c r="BR59" s="61"/>
      <c r="BU59" s="61"/>
    </row>
    <row r="60" spans="1:66" ht="12" customHeight="1">
      <c r="A60" s="43" t="s">
        <v>356</v>
      </c>
      <c r="B60" s="208">
        <f>B5+444</f>
        <v>486</v>
      </c>
      <c r="C60" s="8"/>
      <c r="D60" s="208">
        <f t="shared" si="3"/>
        <v>378</v>
      </c>
      <c r="E60" s="208">
        <f>E5+127</f>
        <v>137</v>
      </c>
      <c r="F60" s="208">
        <f>F5+88</f>
        <v>100</v>
      </c>
      <c r="G60" s="208">
        <f>G5+135</f>
        <v>141</v>
      </c>
      <c r="H60" s="208">
        <f t="shared" si="4"/>
        <v>189</v>
      </c>
      <c r="I60" s="208">
        <f>I5+73</f>
        <v>79</v>
      </c>
      <c r="J60" s="208">
        <f>J5+45</f>
        <v>51</v>
      </c>
      <c r="K60" s="208">
        <f>K5+57</f>
        <v>59</v>
      </c>
      <c r="L60" s="208">
        <f t="shared" si="5"/>
        <v>189</v>
      </c>
      <c r="M60" s="208">
        <f>M5+54</f>
        <v>58</v>
      </c>
      <c r="N60" s="208">
        <f>N5+43</f>
        <v>49</v>
      </c>
      <c r="O60" s="208">
        <f>O5+78</f>
        <v>82</v>
      </c>
      <c r="P60" s="208">
        <f>P5+498</f>
        <v>541</v>
      </c>
      <c r="Q60" s="208">
        <f>Q5+536</f>
        <v>564</v>
      </c>
      <c r="R60" s="208">
        <f>R5+273</f>
        <v>297</v>
      </c>
      <c r="S60" s="208">
        <f>S5+239</f>
        <v>252</v>
      </c>
      <c r="T60" s="208">
        <f>T5+225</f>
        <v>244</v>
      </c>
      <c r="U60" s="208">
        <f>U5+297</f>
        <v>312</v>
      </c>
      <c r="V60" s="208">
        <f>V5+585</f>
        <v>629</v>
      </c>
      <c r="W60" s="208">
        <f>W5+608</f>
        <v>650</v>
      </c>
      <c r="X60" s="208">
        <f>X5+82</f>
        <v>88</v>
      </c>
      <c r="Y60" s="208">
        <f>Y5+60</f>
        <v>66</v>
      </c>
      <c r="Z60" s="208">
        <f>Z5+100</f>
        <v>105</v>
      </c>
      <c r="AA60" s="208">
        <f>AA5+77</f>
        <v>80</v>
      </c>
      <c r="AB60" s="337">
        <f>AB5+8</f>
        <v>9</v>
      </c>
      <c r="AC60" s="338">
        <f t="shared" si="1"/>
        <v>70.31481481481481</v>
      </c>
      <c r="AD60" s="342">
        <f t="shared" si="2"/>
        <v>6.070559610705596</v>
      </c>
      <c r="AE60" s="340">
        <f>AF5+24612.5</f>
        <v>26579</v>
      </c>
      <c r="AG60" s="43" t="s">
        <v>356</v>
      </c>
      <c r="AI60" s="3">
        <f>AH5+23109</f>
        <v>24950</v>
      </c>
      <c r="AK60" s="3">
        <f>AK5+3803</f>
        <v>4110</v>
      </c>
      <c r="AW60" s="347" t="s">
        <v>7</v>
      </c>
      <c r="AX60" s="348"/>
      <c r="AY60" s="349" t="s">
        <v>357</v>
      </c>
      <c r="AZ60" s="346"/>
      <c r="BA60" s="350" t="s">
        <v>7</v>
      </c>
      <c r="BB60" s="345"/>
      <c r="BC60" s="349" t="s">
        <v>358</v>
      </c>
      <c r="BD60" s="351"/>
      <c r="BE60" s="349" t="s">
        <v>359</v>
      </c>
      <c r="BF60" s="348"/>
      <c r="BG60" s="352" t="s">
        <v>360</v>
      </c>
      <c r="BH60" s="348"/>
      <c r="BI60" s="352" t="s">
        <v>52</v>
      </c>
      <c r="BJ60" s="348"/>
      <c r="BK60" s="353" t="s">
        <v>361</v>
      </c>
      <c r="BL60" s="354"/>
      <c r="BM60" s="355"/>
      <c r="BN60" s="356"/>
    </row>
    <row r="61" spans="1:69" ht="12" customHeight="1">
      <c r="A61" s="43" t="s">
        <v>40</v>
      </c>
      <c r="B61" s="208">
        <f>B9+435</f>
        <v>471</v>
      </c>
      <c r="C61" s="8"/>
      <c r="D61" s="208">
        <f t="shared" si="3"/>
        <v>378</v>
      </c>
      <c r="E61" s="208">
        <f>E9+128</f>
        <v>137</v>
      </c>
      <c r="F61" s="208">
        <f>F9+78</f>
        <v>87</v>
      </c>
      <c r="G61" s="208">
        <f>G9+144</f>
        <v>154</v>
      </c>
      <c r="H61" s="208">
        <f t="shared" si="4"/>
        <v>189</v>
      </c>
      <c r="I61" s="208">
        <f>I9+76</f>
        <v>83</v>
      </c>
      <c r="J61" s="208">
        <f>J9+44</f>
        <v>51</v>
      </c>
      <c r="K61" s="208">
        <f>K9+55</f>
        <v>55</v>
      </c>
      <c r="L61" s="208">
        <f t="shared" si="5"/>
        <v>189</v>
      </c>
      <c r="M61" s="208">
        <f>M9+52</f>
        <v>54</v>
      </c>
      <c r="N61" s="208">
        <f>N9+34</f>
        <v>36</v>
      </c>
      <c r="O61" s="208">
        <f>O9+89</f>
        <v>99</v>
      </c>
      <c r="P61" s="208">
        <f>P9+496</f>
        <v>533</v>
      </c>
      <c r="Q61" s="208">
        <f>Q9+500</f>
        <v>543</v>
      </c>
      <c r="R61" s="208">
        <f>R9+285</f>
        <v>309</v>
      </c>
      <c r="S61" s="208">
        <f>S9+211</f>
        <v>225</v>
      </c>
      <c r="T61" s="208">
        <f>T9+211</f>
        <v>224</v>
      </c>
      <c r="U61" s="208">
        <f>U9+289</f>
        <v>318</v>
      </c>
      <c r="V61" s="208">
        <f>V9+549</f>
        <v>598</v>
      </c>
      <c r="W61" s="208">
        <f>W9+570</f>
        <v>617</v>
      </c>
      <c r="X61" s="208">
        <f>X9+88</f>
        <v>95</v>
      </c>
      <c r="Y61" s="208">
        <f>Y9+60</f>
        <v>65</v>
      </c>
      <c r="Z61" s="208">
        <f>Z9+114</f>
        <v>124</v>
      </c>
      <c r="AA61" s="208">
        <f>AA9+81</f>
        <v>88</v>
      </c>
      <c r="AB61" s="337">
        <f>AB9+8</f>
        <v>8</v>
      </c>
      <c r="AC61" s="338">
        <f t="shared" si="1"/>
        <v>70.03121693121693</v>
      </c>
      <c r="AD61" s="342">
        <f t="shared" si="2"/>
        <v>6.064922480620155</v>
      </c>
      <c r="AE61" s="340">
        <f>AF9+24519.3</f>
        <v>26471.8</v>
      </c>
      <c r="AG61" s="43" t="s">
        <v>40</v>
      </c>
      <c r="AI61" s="3">
        <f>AH9+23192</f>
        <v>25036</v>
      </c>
      <c r="AK61" s="3">
        <f>AK9+3822</f>
        <v>4128</v>
      </c>
      <c r="AW61" s="357" t="s">
        <v>362</v>
      </c>
      <c r="AX61" s="358"/>
      <c r="AY61" s="359" t="s">
        <v>363</v>
      </c>
      <c r="AZ61" s="360"/>
      <c r="BA61" s="361" t="s">
        <v>364</v>
      </c>
      <c r="BB61" s="362"/>
      <c r="BC61" s="363" t="s">
        <v>365</v>
      </c>
      <c r="BD61" s="364"/>
      <c r="BE61" s="363" t="s">
        <v>365</v>
      </c>
      <c r="BF61" s="358"/>
      <c r="BG61" s="365"/>
      <c r="BH61" s="358"/>
      <c r="BI61" s="365"/>
      <c r="BJ61" s="358"/>
      <c r="BK61" s="365" t="s">
        <v>283</v>
      </c>
      <c r="BL61" s="358"/>
      <c r="BM61" s="365" t="s">
        <v>284</v>
      </c>
      <c r="BN61" s="366"/>
      <c r="BQ61" s="3"/>
    </row>
    <row r="62" spans="1:69" ht="12" customHeight="1" thickBot="1">
      <c r="A62" s="43" t="s">
        <v>37</v>
      </c>
      <c r="B62" s="208">
        <f>B6+391</f>
        <v>429</v>
      </c>
      <c r="C62" s="8"/>
      <c r="D62" s="208">
        <f t="shared" si="3"/>
        <v>378</v>
      </c>
      <c r="E62" s="208">
        <f>E6+105</f>
        <v>114</v>
      </c>
      <c r="F62" s="208">
        <f>F6+86</f>
        <v>97</v>
      </c>
      <c r="G62" s="208">
        <f>G6+159</f>
        <v>167</v>
      </c>
      <c r="H62" s="208">
        <f t="shared" si="4"/>
        <v>189</v>
      </c>
      <c r="I62" s="208">
        <f>I6+72</f>
        <v>78</v>
      </c>
      <c r="J62" s="367">
        <f>J6+43</f>
        <v>48</v>
      </c>
      <c r="K62" s="208">
        <f>K6+60</f>
        <v>63</v>
      </c>
      <c r="L62" s="208">
        <f t="shared" si="5"/>
        <v>189</v>
      </c>
      <c r="M62" s="208">
        <f>M6+33</f>
        <v>36</v>
      </c>
      <c r="N62" s="208">
        <f>N6+43</f>
        <v>49</v>
      </c>
      <c r="O62" s="208">
        <f>O6+99</f>
        <v>104</v>
      </c>
      <c r="P62" s="208">
        <f>P6+450</f>
        <v>499</v>
      </c>
      <c r="Q62" s="208">
        <f>Q6+582</f>
        <v>615</v>
      </c>
      <c r="R62" s="208">
        <f>R6+273</f>
        <v>302</v>
      </c>
      <c r="S62" s="208">
        <f>S6+230</f>
        <v>247</v>
      </c>
      <c r="T62" s="208">
        <f>T6+177</f>
        <v>197</v>
      </c>
      <c r="U62" s="208">
        <f>U6+352</f>
        <v>368</v>
      </c>
      <c r="V62" s="208">
        <f>V6+529</f>
        <v>586</v>
      </c>
      <c r="W62" s="208">
        <f>W6+639</f>
        <v>677</v>
      </c>
      <c r="X62" s="208">
        <f>X6+100</f>
        <v>109</v>
      </c>
      <c r="Y62" s="208">
        <f>Y6+71</f>
        <v>78</v>
      </c>
      <c r="Z62" s="208">
        <f>Z6+101</f>
        <v>110</v>
      </c>
      <c r="AA62" s="208">
        <f>AA6+69</f>
        <v>76</v>
      </c>
      <c r="AB62" s="337">
        <f>AB6+15</f>
        <v>16</v>
      </c>
      <c r="AC62" s="338">
        <f t="shared" si="1"/>
        <v>69.62301587301587</v>
      </c>
      <c r="AD62" s="342">
        <f t="shared" si="2"/>
        <v>6.067521367521367</v>
      </c>
      <c r="AE62" s="340">
        <f>AF6+24308</f>
        <v>26317.5</v>
      </c>
      <c r="AG62" s="43" t="s">
        <v>37</v>
      </c>
      <c r="AI62" s="3">
        <f>AH6+22974.5</f>
        <v>24846.5</v>
      </c>
      <c r="AK62" s="3">
        <f>AK6+3790</f>
        <v>4095</v>
      </c>
      <c r="AW62" s="102" t="s">
        <v>38</v>
      </c>
      <c r="AX62" s="368" t="s">
        <v>366</v>
      </c>
      <c r="AY62" s="369" t="s">
        <v>367</v>
      </c>
      <c r="AZ62" s="61"/>
      <c r="BA62" s="100" t="s">
        <v>37</v>
      </c>
      <c r="BB62" s="56">
        <f>AB62</f>
        <v>16</v>
      </c>
      <c r="BC62" s="100" t="s">
        <v>38</v>
      </c>
      <c r="BD62" s="370">
        <v>35</v>
      </c>
      <c r="BE62" s="100" t="s">
        <v>38</v>
      </c>
      <c r="BF62" s="61">
        <v>35</v>
      </c>
      <c r="BG62" s="100" t="s">
        <v>39</v>
      </c>
      <c r="BH62" s="61">
        <f>AR78</f>
        <v>28</v>
      </c>
      <c r="BI62" s="100" t="s">
        <v>189</v>
      </c>
      <c r="BJ62" s="61">
        <f>AE80</f>
        <v>20</v>
      </c>
      <c r="BK62" s="100" t="s">
        <v>42</v>
      </c>
      <c r="BL62" s="371">
        <f>AM81</f>
        <v>17.1</v>
      </c>
      <c r="BM62" s="100" t="s">
        <v>38</v>
      </c>
      <c r="BN62" s="372">
        <f>AN77</f>
        <v>19.1</v>
      </c>
      <c r="BQ62" s="3"/>
    </row>
    <row r="63" spans="1:69" ht="12" customHeight="1" thickBot="1" thickTop="1">
      <c r="A63" s="373" t="s">
        <v>43</v>
      </c>
      <c r="B63" s="374">
        <f>SUM(B55:B62)</f>
        <v>3972</v>
      </c>
      <c r="C63" s="8"/>
      <c r="D63" s="374">
        <f aca="true" t="shared" si="6" ref="D63:AB63">SUM(D55:D62)</f>
        <v>3024</v>
      </c>
      <c r="E63" s="374">
        <f t="shared" si="6"/>
        <v>1160</v>
      </c>
      <c r="F63" s="374">
        <f t="shared" si="6"/>
        <v>704</v>
      </c>
      <c r="G63" s="374">
        <f t="shared" si="6"/>
        <v>1160</v>
      </c>
      <c r="H63" s="374">
        <f t="shared" si="6"/>
        <v>1512</v>
      </c>
      <c r="I63" s="374">
        <f t="shared" si="6"/>
        <v>694</v>
      </c>
      <c r="J63" s="374">
        <f t="shared" si="6"/>
        <v>352</v>
      </c>
      <c r="K63" s="374">
        <f t="shared" si="6"/>
        <v>466</v>
      </c>
      <c r="L63" s="374">
        <f t="shared" si="6"/>
        <v>1512</v>
      </c>
      <c r="M63" s="374">
        <f t="shared" si="6"/>
        <v>466</v>
      </c>
      <c r="N63" s="374">
        <f t="shared" si="6"/>
        <v>352</v>
      </c>
      <c r="O63" s="374">
        <f t="shared" si="6"/>
        <v>694</v>
      </c>
      <c r="P63" s="374">
        <f t="shared" si="6"/>
        <v>4576</v>
      </c>
      <c r="Q63" s="374">
        <f t="shared" si="6"/>
        <v>4576</v>
      </c>
      <c r="R63" s="374">
        <f t="shared" si="6"/>
        <v>2572</v>
      </c>
      <c r="S63" s="374">
        <f t="shared" si="6"/>
        <v>2004</v>
      </c>
      <c r="T63" s="374">
        <f t="shared" si="6"/>
        <v>2004</v>
      </c>
      <c r="U63" s="374">
        <f t="shared" si="6"/>
        <v>2572</v>
      </c>
      <c r="V63" s="374">
        <f t="shared" si="6"/>
        <v>5239</v>
      </c>
      <c r="W63" s="374">
        <f t="shared" si="6"/>
        <v>5239</v>
      </c>
      <c r="X63" s="374">
        <f t="shared" si="6"/>
        <v>931</v>
      </c>
      <c r="Y63" s="374">
        <f t="shared" si="6"/>
        <v>686</v>
      </c>
      <c r="Z63" s="374">
        <f t="shared" si="6"/>
        <v>931</v>
      </c>
      <c r="AA63" s="374">
        <f t="shared" si="6"/>
        <v>686</v>
      </c>
      <c r="AB63" s="375">
        <f t="shared" si="6"/>
        <v>78</v>
      </c>
      <c r="AC63" s="7">
        <f t="shared" si="1"/>
        <v>70.73005952380952</v>
      </c>
      <c r="AD63" s="376">
        <f t="shared" si="2"/>
        <v>6.089379377254949</v>
      </c>
      <c r="AE63" s="377">
        <f>SUM(AE55:AE62)</f>
        <v>213887.69999999998</v>
      </c>
      <c r="AI63" s="3">
        <f>SUM(AI55:AI62)</f>
        <v>200846</v>
      </c>
      <c r="AK63" s="3">
        <f>SUM(AK55:AK62)</f>
        <v>32983</v>
      </c>
      <c r="AW63" s="102" t="s">
        <v>36</v>
      </c>
      <c r="AX63" s="368" t="s">
        <v>368</v>
      </c>
      <c r="AY63" s="369" t="s">
        <v>369</v>
      </c>
      <c r="AZ63" s="61"/>
      <c r="BA63" s="100" t="s">
        <v>39</v>
      </c>
      <c r="BB63" s="56">
        <f>AB56</f>
        <v>13</v>
      </c>
      <c r="BC63" s="100" t="s">
        <v>36</v>
      </c>
      <c r="BD63" s="370">
        <v>35</v>
      </c>
      <c r="BE63" s="100" t="s">
        <v>36</v>
      </c>
      <c r="BF63" s="61">
        <v>32</v>
      </c>
      <c r="BG63" s="100" t="s">
        <v>38</v>
      </c>
      <c r="BH63" s="61">
        <f>AR77</f>
        <v>15</v>
      </c>
      <c r="BI63" s="100" t="s">
        <v>38</v>
      </c>
      <c r="BJ63" s="61">
        <f>AE77</f>
        <v>20</v>
      </c>
      <c r="BK63" s="100" t="s">
        <v>37</v>
      </c>
      <c r="BL63" s="371">
        <f>AM76</f>
        <v>16.2</v>
      </c>
      <c r="BM63" s="100" t="s">
        <v>37</v>
      </c>
      <c r="BN63" s="372">
        <f>AN76</f>
        <v>16.1</v>
      </c>
      <c r="BQ63" s="3"/>
    </row>
    <row r="64" spans="1:69" ht="12" customHeight="1">
      <c r="A64" s="3" t="s">
        <v>370</v>
      </c>
      <c r="B64" s="79"/>
      <c r="D64" s="56"/>
      <c r="J64" s="378"/>
      <c r="L64" s="56"/>
      <c r="N64" s="378"/>
      <c r="P64" s="56"/>
      <c r="R64" s="379"/>
      <c r="S64" s="379"/>
      <c r="T64" s="379"/>
      <c r="U64" s="379"/>
      <c r="W64" s="56"/>
      <c r="Z64" s="43"/>
      <c r="AC64" s="380"/>
      <c r="AD64" s="381"/>
      <c r="AW64" s="102" t="s">
        <v>41</v>
      </c>
      <c r="AX64" s="382" t="s">
        <v>371</v>
      </c>
      <c r="AY64" s="369" t="s">
        <v>372</v>
      </c>
      <c r="AZ64" s="61"/>
      <c r="BA64" s="100" t="s">
        <v>41</v>
      </c>
      <c r="BB64" s="56">
        <f>AB59</f>
        <v>10</v>
      </c>
      <c r="BC64" s="100" t="s">
        <v>42</v>
      </c>
      <c r="BD64" s="370">
        <v>32</v>
      </c>
      <c r="BE64" s="100" t="s">
        <v>39</v>
      </c>
      <c r="BF64" s="61">
        <v>30</v>
      </c>
      <c r="BG64" s="100" t="s">
        <v>41</v>
      </c>
      <c r="BH64" s="61">
        <f>AR80</f>
        <v>11</v>
      </c>
      <c r="BI64" s="100" t="s">
        <v>40</v>
      </c>
      <c r="BJ64" s="61">
        <f>AE79</f>
        <v>27</v>
      </c>
      <c r="BK64" s="100" t="s">
        <v>39</v>
      </c>
      <c r="BL64" s="371">
        <f>AM78</f>
        <v>15</v>
      </c>
      <c r="BM64" s="100" t="s">
        <v>42</v>
      </c>
      <c r="BN64" s="372">
        <f>AN81</f>
        <v>16</v>
      </c>
      <c r="BQ64" s="3"/>
    </row>
    <row r="65" spans="1:69" ht="12" customHeight="1">
      <c r="A65" s="3" t="s">
        <v>370</v>
      </c>
      <c r="B65" s="79"/>
      <c r="D65" s="56">
        <f>H63+L63</f>
        <v>3024</v>
      </c>
      <c r="E65" s="56">
        <f>I63+M63</f>
        <v>1160</v>
      </c>
      <c r="F65" s="3">
        <f>J63+N63</f>
        <v>704</v>
      </c>
      <c r="G65" s="3">
        <f>K63+O63</f>
        <v>1160</v>
      </c>
      <c r="H65" s="3">
        <f>I63+J63+K63</f>
        <v>1512</v>
      </c>
      <c r="L65" s="56">
        <f>M63+N63+O63</f>
        <v>1512</v>
      </c>
      <c r="P65" s="56">
        <f>R63+T63</f>
        <v>4576</v>
      </c>
      <c r="Q65" s="3">
        <f>S63+U63</f>
        <v>4576</v>
      </c>
      <c r="V65" s="3">
        <f>W63</f>
        <v>5239</v>
      </c>
      <c r="X65" s="3">
        <f>Z63</f>
        <v>931</v>
      </c>
      <c r="Y65" s="3">
        <f>AA63</f>
        <v>686</v>
      </c>
      <c r="Z65" s="43"/>
      <c r="AW65" s="102" t="s">
        <v>39</v>
      </c>
      <c r="AX65" s="368" t="s">
        <v>373</v>
      </c>
      <c r="AY65" s="369" t="s">
        <v>374</v>
      </c>
      <c r="AZ65" s="61"/>
      <c r="BA65" s="100" t="s">
        <v>46</v>
      </c>
      <c r="BB65" s="56">
        <f>AB60</f>
        <v>9</v>
      </c>
      <c r="BC65" s="100" t="s">
        <v>37</v>
      </c>
      <c r="BD65" s="370">
        <v>29</v>
      </c>
      <c r="BE65" s="100" t="s">
        <v>37</v>
      </c>
      <c r="BF65" s="61">
        <v>29</v>
      </c>
      <c r="BG65" s="100" t="s">
        <v>36</v>
      </c>
      <c r="BH65" s="61">
        <f>AR74</f>
        <v>9</v>
      </c>
      <c r="BI65" s="100" t="s">
        <v>36</v>
      </c>
      <c r="BJ65" s="61">
        <f>AE74</f>
        <v>29</v>
      </c>
      <c r="BK65" s="100" t="s">
        <v>38</v>
      </c>
      <c r="BL65" s="371">
        <f>AM77</f>
        <v>15.2</v>
      </c>
      <c r="BM65" s="100" t="s">
        <v>46</v>
      </c>
      <c r="BN65" s="372">
        <f>AN75</f>
        <v>14.1</v>
      </c>
      <c r="BQ65" s="3"/>
    </row>
    <row r="66" spans="2:66" s="61" customFormat="1" ht="12" customHeight="1">
      <c r="B66" s="56"/>
      <c r="Z66" s="383"/>
      <c r="AC66" s="384"/>
      <c r="AJ66" s="385"/>
      <c r="AN66" s="386"/>
      <c r="AO66" s="386"/>
      <c r="AW66" s="102" t="s">
        <v>42</v>
      </c>
      <c r="AX66" s="56" t="s">
        <v>375</v>
      </c>
      <c r="AY66" s="369" t="s">
        <v>376</v>
      </c>
      <c r="BA66" s="100" t="s">
        <v>40</v>
      </c>
      <c r="BB66" s="56">
        <f>AB61</f>
        <v>8</v>
      </c>
      <c r="BC66" s="100" t="s">
        <v>40</v>
      </c>
      <c r="BD66" s="370">
        <v>28</v>
      </c>
      <c r="BE66" s="100" t="s">
        <v>40</v>
      </c>
      <c r="BF66" s="61">
        <v>28</v>
      </c>
      <c r="BG66" s="100" t="s">
        <v>37</v>
      </c>
      <c r="BH66" s="61">
        <f>AR76</f>
        <v>7</v>
      </c>
      <c r="BI66" s="100" t="s">
        <v>42</v>
      </c>
      <c r="BJ66" s="61">
        <f>AE81</f>
        <v>29</v>
      </c>
      <c r="BK66" s="100" t="s">
        <v>40</v>
      </c>
      <c r="BL66" s="371">
        <f>AM79</f>
        <v>14.1</v>
      </c>
      <c r="BM66" s="100" t="s">
        <v>39</v>
      </c>
      <c r="BN66" s="372">
        <f>AN78</f>
        <v>13.2</v>
      </c>
    </row>
    <row r="67" spans="40:81" s="61" customFormat="1" ht="12" customHeight="1">
      <c r="AN67" s="386"/>
      <c r="AO67" s="386"/>
      <c r="AW67" s="102" t="s">
        <v>37</v>
      </c>
      <c r="AX67" s="382" t="s">
        <v>377</v>
      </c>
      <c r="AY67" s="369" t="s">
        <v>378</v>
      </c>
      <c r="BA67" s="100" t="s">
        <v>36</v>
      </c>
      <c r="BB67" s="56">
        <f>AB55</f>
        <v>9</v>
      </c>
      <c r="BC67" s="100" t="s">
        <v>41</v>
      </c>
      <c r="BD67" s="370">
        <v>26</v>
      </c>
      <c r="BE67" s="100" t="s">
        <v>42</v>
      </c>
      <c r="BF67" s="61">
        <v>26</v>
      </c>
      <c r="BG67" s="100" t="s">
        <v>42</v>
      </c>
      <c r="BH67" s="61">
        <f>AR81</f>
        <v>7</v>
      </c>
      <c r="BI67" s="100" t="s">
        <v>39</v>
      </c>
      <c r="BJ67" s="61">
        <f>AE78</f>
        <v>36</v>
      </c>
      <c r="BK67" s="100" t="s">
        <v>41</v>
      </c>
      <c r="BL67" s="371">
        <f>AM80</f>
        <v>12</v>
      </c>
      <c r="BM67" s="100" t="s">
        <v>36</v>
      </c>
      <c r="BN67" s="372">
        <f>AN74</f>
        <v>11.1</v>
      </c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</row>
    <row r="68" spans="49:69" ht="12" customHeight="1">
      <c r="AW68" s="102" t="s">
        <v>40</v>
      </c>
      <c r="AX68" s="382" t="s">
        <v>379</v>
      </c>
      <c r="AY68" s="369" t="s">
        <v>380</v>
      </c>
      <c r="AZ68" s="61"/>
      <c r="BA68" s="100" t="s">
        <v>42</v>
      </c>
      <c r="BB68" s="56">
        <f>AB58</f>
        <v>8</v>
      </c>
      <c r="BC68" s="100" t="s">
        <v>39</v>
      </c>
      <c r="BD68" s="370">
        <v>22</v>
      </c>
      <c r="BE68" s="100" t="s">
        <v>41</v>
      </c>
      <c r="BF68" s="61">
        <v>26</v>
      </c>
      <c r="BG68" s="100" t="s">
        <v>40</v>
      </c>
      <c r="BH68" s="61">
        <f>AR79</f>
        <v>6</v>
      </c>
      <c r="BI68" s="100" t="s">
        <v>46</v>
      </c>
      <c r="BJ68" s="61">
        <f>AE75</f>
        <v>45</v>
      </c>
      <c r="BK68" s="100" t="s">
        <v>36</v>
      </c>
      <c r="BL68" s="372">
        <f>AM74</f>
        <v>10</v>
      </c>
      <c r="BM68" s="100" t="s">
        <v>189</v>
      </c>
      <c r="BN68" s="372">
        <f>AN80</f>
        <v>9.1</v>
      </c>
      <c r="BQ68" s="3"/>
    </row>
    <row r="69" spans="2:69" ht="12" customHeight="1" thickBot="1">
      <c r="B69" s="79"/>
      <c r="Z69" s="8"/>
      <c r="AW69" s="103" t="s">
        <v>46</v>
      </c>
      <c r="AX69" s="387" t="s">
        <v>381</v>
      </c>
      <c r="AY69" s="388" t="s">
        <v>382</v>
      </c>
      <c r="AZ69" s="104"/>
      <c r="BA69" s="105" t="s">
        <v>38</v>
      </c>
      <c r="BB69" s="389">
        <f>AB57</f>
        <v>5</v>
      </c>
      <c r="BC69" s="105" t="s">
        <v>46</v>
      </c>
      <c r="BD69" s="390">
        <v>22</v>
      </c>
      <c r="BE69" s="105" t="s">
        <v>46</v>
      </c>
      <c r="BF69" s="104">
        <v>23</v>
      </c>
      <c r="BG69" s="105" t="s">
        <v>46</v>
      </c>
      <c r="BH69" s="104">
        <f>AR75</f>
        <v>4</v>
      </c>
      <c r="BI69" s="105" t="s">
        <v>37</v>
      </c>
      <c r="BJ69" s="104">
        <f>AE76</f>
        <v>60</v>
      </c>
      <c r="BK69" s="105" t="s">
        <v>46</v>
      </c>
      <c r="BL69" s="391">
        <f>AM75</f>
        <v>8.1</v>
      </c>
      <c r="BM69" s="105" t="s">
        <v>40</v>
      </c>
      <c r="BN69" s="226">
        <f>AN79</f>
        <v>9</v>
      </c>
      <c r="BQ69" s="3"/>
    </row>
    <row r="70" spans="2:73" ht="9.75" customHeight="1">
      <c r="B70" s="79"/>
      <c r="Z70" s="8"/>
      <c r="AC70" s="3"/>
      <c r="AJ70" s="3"/>
      <c r="AX70" s="61"/>
      <c r="AY70" s="107"/>
      <c r="AZ70" s="61"/>
      <c r="BB70" s="56"/>
      <c r="BD70" s="61"/>
      <c r="BF70" s="61"/>
      <c r="BH70" s="61"/>
      <c r="BJ70" s="61"/>
      <c r="BL70" s="61"/>
      <c r="BN70" s="61"/>
      <c r="BQ70" s="3"/>
      <c r="BR70" s="61"/>
      <c r="BU70" s="61"/>
    </row>
    <row r="71" spans="2:73" ht="12" customHeight="1">
      <c r="B71" s="79"/>
      <c r="H71" s="57"/>
      <c r="Z71" s="8"/>
      <c r="AC71" s="3"/>
      <c r="AW71" s="3"/>
      <c r="BA71" s="3"/>
      <c r="BC71" s="3"/>
      <c r="BE71" s="3"/>
      <c r="BG71" s="3"/>
      <c r="BI71" s="3"/>
      <c r="BJ71" s="61"/>
      <c r="BK71" s="3"/>
      <c r="BL71" s="61"/>
      <c r="BM71" s="84"/>
      <c r="BN71" s="83"/>
      <c r="BR71" s="61"/>
      <c r="BU71" s="61"/>
    </row>
    <row r="72" spans="1:66" ht="12" customHeight="1">
      <c r="A72" s="83" t="s">
        <v>383</v>
      </c>
      <c r="B72" s="392" t="s">
        <v>384</v>
      </c>
      <c r="C72" s="3">
        <v>8</v>
      </c>
      <c r="D72" s="4">
        <v>8</v>
      </c>
      <c r="E72" s="3">
        <v>4</v>
      </c>
      <c r="F72" s="4">
        <v>4</v>
      </c>
      <c r="G72" s="4" t="s">
        <v>69</v>
      </c>
      <c r="H72" s="4" t="s">
        <v>385</v>
      </c>
      <c r="I72" s="3" t="s">
        <v>386</v>
      </c>
      <c r="J72" s="3" t="s">
        <v>386</v>
      </c>
      <c r="K72" s="3" t="s">
        <v>387</v>
      </c>
      <c r="L72" s="3" t="s">
        <v>387</v>
      </c>
      <c r="M72" s="136" t="s">
        <v>388</v>
      </c>
      <c r="N72" s="3" t="s">
        <v>389</v>
      </c>
      <c r="O72" s="4" t="s">
        <v>390</v>
      </c>
      <c r="P72" s="4" t="s">
        <v>385</v>
      </c>
      <c r="Q72" s="4" t="s">
        <v>390</v>
      </c>
      <c r="R72" s="4" t="s">
        <v>385</v>
      </c>
      <c r="S72" s="4" t="s">
        <v>388</v>
      </c>
      <c r="T72" s="4" t="s">
        <v>389</v>
      </c>
      <c r="U72" s="4" t="s">
        <v>391</v>
      </c>
      <c r="V72" s="4" t="s">
        <v>391</v>
      </c>
      <c r="W72" s="3" t="s">
        <v>392</v>
      </c>
      <c r="X72" s="4" t="s">
        <v>392</v>
      </c>
      <c r="Y72" s="146" t="s">
        <v>301</v>
      </c>
      <c r="Z72" s="143" t="s">
        <v>393</v>
      </c>
      <c r="AA72" s="393" t="s">
        <v>393</v>
      </c>
      <c r="AB72" s="394" t="s">
        <v>385</v>
      </c>
      <c r="AC72" s="394" t="s">
        <v>390</v>
      </c>
      <c r="AD72" s="395" t="s">
        <v>394</v>
      </c>
      <c r="AE72" s="394" t="s">
        <v>394</v>
      </c>
      <c r="AF72" s="394" t="s">
        <v>385</v>
      </c>
      <c r="AG72" s="4" t="s">
        <v>390</v>
      </c>
      <c r="AH72" s="146"/>
      <c r="AI72" s="136" t="s">
        <v>395</v>
      </c>
      <c r="AJ72" s="4" t="s">
        <v>395</v>
      </c>
      <c r="AK72" s="3">
        <v>-60</v>
      </c>
      <c r="AL72" s="4">
        <v>-60</v>
      </c>
      <c r="AM72" s="146" t="s">
        <v>313</v>
      </c>
      <c r="AN72" s="146"/>
      <c r="AO72" s="146" t="s">
        <v>314</v>
      </c>
      <c r="AP72" s="146"/>
      <c r="AQ72" s="3" t="s">
        <v>396</v>
      </c>
      <c r="AR72" s="4"/>
      <c r="AS72" s="4"/>
      <c r="AW72" s="396" t="s">
        <v>397</v>
      </c>
      <c r="AX72" s="392" t="s">
        <v>284</v>
      </c>
      <c r="AY72" s="385" t="s">
        <v>398</v>
      </c>
      <c r="BA72" s="3"/>
      <c r="BB72" s="3">
        <v>-66</v>
      </c>
      <c r="BC72" s="385">
        <v>-66</v>
      </c>
      <c r="BE72" s="3"/>
      <c r="BF72" s="61"/>
      <c r="BG72" s="135"/>
      <c r="BH72" s="135"/>
      <c r="BI72" s="3"/>
      <c r="BJ72" s="61"/>
      <c r="BK72" s="3"/>
      <c r="BL72" s="61"/>
      <c r="BM72" s="3"/>
      <c r="BN72" s="83"/>
    </row>
    <row r="73" spans="2:66" ht="12" customHeight="1">
      <c r="B73" s="392" t="s">
        <v>399</v>
      </c>
      <c r="C73" s="3" t="s">
        <v>400</v>
      </c>
      <c r="D73" s="394" t="s">
        <v>19</v>
      </c>
      <c r="E73" s="3" t="s">
        <v>400</v>
      </c>
      <c r="F73" s="4" t="s">
        <v>19</v>
      </c>
      <c r="G73" s="4">
        <v>8</v>
      </c>
      <c r="H73" s="4">
        <v>4</v>
      </c>
      <c r="I73" s="3" t="s">
        <v>401</v>
      </c>
      <c r="J73" s="3" t="s">
        <v>401</v>
      </c>
      <c r="K73" s="3" t="s">
        <v>402</v>
      </c>
      <c r="L73" s="3" t="s">
        <v>31</v>
      </c>
      <c r="M73" s="3" t="s">
        <v>400</v>
      </c>
      <c r="N73" s="3" t="s">
        <v>400</v>
      </c>
      <c r="O73" s="4" t="s">
        <v>388</v>
      </c>
      <c r="P73" s="4" t="s">
        <v>388</v>
      </c>
      <c r="Q73" s="4" t="s">
        <v>389</v>
      </c>
      <c r="R73" s="4" t="s">
        <v>389</v>
      </c>
      <c r="S73" s="4" t="s">
        <v>19</v>
      </c>
      <c r="T73" s="4" t="s">
        <v>19</v>
      </c>
      <c r="U73" s="3" t="s">
        <v>400</v>
      </c>
      <c r="V73" s="4" t="s">
        <v>19</v>
      </c>
      <c r="W73" s="3" t="s">
        <v>400</v>
      </c>
      <c r="X73" s="4" t="s">
        <v>19</v>
      </c>
      <c r="Z73" s="3" t="s">
        <v>400</v>
      </c>
      <c r="AA73" s="394" t="s">
        <v>19</v>
      </c>
      <c r="AB73" s="393" t="s">
        <v>393</v>
      </c>
      <c r="AC73" s="393" t="s">
        <v>393</v>
      </c>
      <c r="AD73" s="3" t="s">
        <v>400</v>
      </c>
      <c r="AE73" s="394" t="s">
        <v>19</v>
      </c>
      <c r="AF73" s="394" t="s">
        <v>394</v>
      </c>
      <c r="AG73" s="4" t="s">
        <v>394</v>
      </c>
      <c r="AH73" s="146"/>
      <c r="AI73" s="136" t="s">
        <v>400</v>
      </c>
      <c r="AJ73" s="4" t="s">
        <v>19</v>
      </c>
      <c r="AK73" s="3" t="s">
        <v>400</v>
      </c>
      <c r="AL73" s="4" t="s">
        <v>19</v>
      </c>
      <c r="AM73" s="146" t="s">
        <v>31</v>
      </c>
      <c r="AN73" s="146" t="s">
        <v>32</v>
      </c>
      <c r="AO73" s="146" t="s">
        <v>403</v>
      </c>
      <c r="AP73" s="146"/>
      <c r="AQ73" s="3" t="s">
        <v>400</v>
      </c>
      <c r="AR73" s="4" t="s">
        <v>19</v>
      </c>
      <c r="AS73" s="4" t="s">
        <v>404</v>
      </c>
      <c r="AW73" s="396" t="s">
        <v>405</v>
      </c>
      <c r="AX73" s="392" t="s">
        <v>406</v>
      </c>
      <c r="AY73" s="385" t="s">
        <v>407</v>
      </c>
      <c r="BA73" s="3"/>
      <c r="BB73" s="56" t="s">
        <v>408</v>
      </c>
      <c r="BC73" s="385" t="s">
        <v>409</v>
      </c>
      <c r="BE73" s="3"/>
      <c r="BG73" s="3"/>
      <c r="BH73" s="397"/>
      <c r="BI73" s="84"/>
      <c r="BJ73" s="61"/>
      <c r="BK73" s="3"/>
      <c r="BL73" s="61"/>
      <c r="BM73" s="107"/>
      <c r="BN73" s="61"/>
    </row>
    <row r="74" spans="1:80" ht="12" customHeight="1">
      <c r="A74" s="3" t="s">
        <v>36</v>
      </c>
      <c r="B74" s="59">
        <v>28</v>
      </c>
      <c r="C74" s="3">
        <v>3</v>
      </c>
      <c r="D74" s="398">
        <f>C74+52</f>
        <v>55</v>
      </c>
      <c r="E74" s="3">
        <v>6</v>
      </c>
      <c r="F74" s="398">
        <f>E74+71</f>
        <v>77</v>
      </c>
      <c r="G74" s="398">
        <v>9</v>
      </c>
      <c r="H74" s="4">
        <v>12</v>
      </c>
      <c r="I74" s="3">
        <v>62</v>
      </c>
      <c r="J74" s="3">
        <v>-40</v>
      </c>
      <c r="L74" s="3">
        <v>1</v>
      </c>
      <c r="M74" s="79">
        <v>46</v>
      </c>
      <c r="N74" s="79">
        <v>5</v>
      </c>
      <c r="O74" s="4">
        <v>30</v>
      </c>
      <c r="P74" s="4">
        <v>57</v>
      </c>
      <c r="Q74" s="4">
        <v>2</v>
      </c>
      <c r="R74" s="4">
        <v>7</v>
      </c>
      <c r="S74" s="398">
        <f>M74+503</f>
        <v>549</v>
      </c>
      <c r="T74" s="4">
        <f>N74+49</f>
        <v>54</v>
      </c>
      <c r="U74" s="4">
        <f aca="true" t="shared" si="7" ref="U74:U81">M74/2+N74</f>
        <v>28</v>
      </c>
      <c r="V74" s="398">
        <f aca="true" t="shared" si="8" ref="V74:V81">S74/2+T74</f>
        <v>328.5</v>
      </c>
      <c r="X74" s="398">
        <f>W74+72</f>
        <v>72</v>
      </c>
      <c r="Y74" s="3">
        <v>120</v>
      </c>
      <c r="Z74" s="79">
        <v>10</v>
      </c>
      <c r="AA74" s="398">
        <f>Z74+143</f>
        <v>153</v>
      </c>
      <c r="AB74" s="399">
        <v>24</v>
      </c>
      <c r="AC74" s="394">
        <v>7</v>
      </c>
      <c r="AD74" s="57">
        <v>5</v>
      </c>
      <c r="AE74" s="398">
        <f>AD74+24</f>
        <v>29</v>
      </c>
      <c r="AF74" s="394">
        <v>6</v>
      </c>
      <c r="AG74" s="4">
        <v>1</v>
      </c>
      <c r="AI74" s="3">
        <v>1</v>
      </c>
      <c r="AJ74" s="398">
        <f>AI74+29+0.01</f>
        <v>30.01</v>
      </c>
      <c r="AL74" s="398">
        <f>AK74+1</f>
        <v>1</v>
      </c>
      <c r="AM74" s="57">
        <v>10</v>
      </c>
      <c r="AN74" s="57">
        <v>11.1</v>
      </c>
      <c r="AO74" s="57">
        <v>26</v>
      </c>
      <c r="AQ74" s="57"/>
      <c r="AR74" s="398">
        <f>AQ74+9</f>
        <v>9</v>
      </c>
      <c r="AS74" s="396">
        <v>4</v>
      </c>
      <c r="AW74" s="3"/>
      <c r="AX74" s="79">
        <v>18</v>
      </c>
      <c r="AY74" s="398">
        <f>AX74+316</f>
        <v>334</v>
      </c>
      <c r="AZ74" s="3">
        <v>34</v>
      </c>
      <c r="BA74" s="3">
        <v>17</v>
      </c>
      <c r="BB74" s="57">
        <v>7</v>
      </c>
      <c r="BC74" s="398">
        <f>BB74+50</f>
        <v>57</v>
      </c>
      <c r="BD74" s="400">
        <v>12</v>
      </c>
      <c r="BE74" s="3"/>
      <c r="BF74" s="61"/>
      <c r="BG74" s="3"/>
      <c r="BH74" s="397"/>
      <c r="BI74" s="84"/>
      <c r="BK74" s="3"/>
      <c r="BL74" s="61"/>
      <c r="BM74" s="107"/>
      <c r="BN74" s="61"/>
      <c r="CB74" s="61"/>
    </row>
    <row r="75" spans="1:66" ht="12" customHeight="1">
      <c r="A75" s="3" t="s">
        <v>410</v>
      </c>
      <c r="B75" s="59">
        <v>28</v>
      </c>
      <c r="D75" s="4">
        <f>C75+22</f>
        <v>22</v>
      </c>
      <c r="E75" s="3">
        <v>2</v>
      </c>
      <c r="F75" s="398">
        <f>E75+73</f>
        <v>75</v>
      </c>
      <c r="G75" s="4">
        <v>4</v>
      </c>
      <c r="H75" s="4">
        <v>9</v>
      </c>
      <c r="I75" s="3">
        <v>37</v>
      </c>
      <c r="J75" s="3">
        <v>-57</v>
      </c>
      <c r="K75" s="3">
        <v>2</v>
      </c>
      <c r="M75" s="79">
        <v>33</v>
      </c>
      <c r="N75" s="79">
        <v>3</v>
      </c>
      <c r="O75" s="4">
        <v>33</v>
      </c>
      <c r="P75" s="4">
        <v>55</v>
      </c>
      <c r="Q75" s="398">
        <v>1</v>
      </c>
      <c r="R75" s="4">
        <v>7</v>
      </c>
      <c r="S75" s="398">
        <f>M75+511</f>
        <v>544</v>
      </c>
      <c r="T75" s="4">
        <f>N75+50</f>
        <v>53</v>
      </c>
      <c r="U75" s="4">
        <f t="shared" si="7"/>
        <v>19.5</v>
      </c>
      <c r="V75" s="398">
        <f t="shared" si="8"/>
        <v>325</v>
      </c>
      <c r="W75" s="3">
        <v>10</v>
      </c>
      <c r="X75" s="398">
        <f>W75+52</f>
        <v>62</v>
      </c>
      <c r="Y75" s="136">
        <v>87</v>
      </c>
      <c r="Z75" s="79">
        <v>11</v>
      </c>
      <c r="AA75" s="398">
        <f>Z75+150</f>
        <v>161</v>
      </c>
      <c r="AB75" s="394">
        <v>20</v>
      </c>
      <c r="AC75" s="394">
        <v>9</v>
      </c>
      <c r="AD75" s="57">
        <v>7</v>
      </c>
      <c r="AE75" s="398">
        <f>AD75+38</f>
        <v>45</v>
      </c>
      <c r="AF75" s="394">
        <v>11</v>
      </c>
      <c r="AG75" s="4">
        <v>0</v>
      </c>
      <c r="AI75" s="3">
        <v>1</v>
      </c>
      <c r="AJ75" s="398">
        <f>AI75+20+0.02</f>
        <v>21.02</v>
      </c>
      <c r="AK75" s="3">
        <v>1</v>
      </c>
      <c r="AL75" s="398">
        <f>AK75+6</f>
        <v>7</v>
      </c>
      <c r="AM75" s="57">
        <v>8.1</v>
      </c>
      <c r="AN75" s="57">
        <v>14.1</v>
      </c>
      <c r="AO75" s="57">
        <v>34</v>
      </c>
      <c r="AQ75" s="57">
        <v>1</v>
      </c>
      <c r="AR75" s="398">
        <f>AQ75+3</f>
        <v>4</v>
      </c>
      <c r="AS75" s="4">
        <v>1</v>
      </c>
      <c r="AW75" s="3"/>
      <c r="AX75" s="79">
        <v>39</v>
      </c>
      <c r="AY75" s="398">
        <f>AX75+320</f>
        <v>359</v>
      </c>
      <c r="AZ75" s="3">
        <v>39</v>
      </c>
      <c r="BA75" s="3">
        <v>21</v>
      </c>
      <c r="BB75" s="57">
        <v>6</v>
      </c>
      <c r="BC75" s="398">
        <f>BB75+61</f>
        <v>67</v>
      </c>
      <c r="BD75" s="400">
        <v>9</v>
      </c>
      <c r="BE75" s="3"/>
      <c r="BF75" s="61"/>
      <c r="BG75" s="3"/>
      <c r="BH75" s="397"/>
      <c r="BL75" s="61"/>
      <c r="BM75" s="107"/>
      <c r="BN75" s="61"/>
    </row>
    <row r="76" spans="1:66" ht="12" customHeight="1">
      <c r="A76" s="3" t="s">
        <v>37</v>
      </c>
      <c r="B76" s="59">
        <v>28</v>
      </c>
      <c r="C76" s="3">
        <v>6</v>
      </c>
      <c r="D76" s="4">
        <f>C76+33</f>
        <v>39</v>
      </c>
      <c r="E76" s="3">
        <v>6</v>
      </c>
      <c r="F76" s="398">
        <f>E76+69</f>
        <v>75</v>
      </c>
      <c r="G76" s="4">
        <v>6</v>
      </c>
      <c r="H76" s="398">
        <v>16</v>
      </c>
      <c r="I76" s="3">
        <v>44</v>
      </c>
      <c r="J76" s="3">
        <v>-80</v>
      </c>
      <c r="L76" s="3">
        <v>1</v>
      </c>
      <c r="M76" s="79">
        <v>29</v>
      </c>
      <c r="N76" s="79">
        <v>6</v>
      </c>
      <c r="O76" s="4">
        <v>29</v>
      </c>
      <c r="P76" s="4">
        <v>55</v>
      </c>
      <c r="Q76" s="4">
        <v>3</v>
      </c>
      <c r="R76" s="398">
        <v>9</v>
      </c>
      <c r="S76" s="398">
        <f>M76+527</f>
        <v>556</v>
      </c>
      <c r="T76" s="398">
        <f>N76+63</f>
        <v>69</v>
      </c>
      <c r="U76" s="4">
        <f t="shared" si="7"/>
        <v>20.5</v>
      </c>
      <c r="V76" s="398">
        <f t="shared" si="8"/>
        <v>347</v>
      </c>
      <c r="W76" s="3">
        <v>3</v>
      </c>
      <c r="X76" s="398">
        <f>W76+6</f>
        <v>9</v>
      </c>
      <c r="Y76" s="3">
        <v>50</v>
      </c>
      <c r="Z76" s="79">
        <v>7</v>
      </c>
      <c r="AA76" s="398">
        <f>Z76+122</f>
        <v>129</v>
      </c>
      <c r="AB76" s="394">
        <v>16</v>
      </c>
      <c r="AC76" s="399">
        <v>6</v>
      </c>
      <c r="AD76" s="57">
        <v>6</v>
      </c>
      <c r="AE76" s="398">
        <f>AD76+54</f>
        <v>60</v>
      </c>
      <c r="AF76" s="399">
        <v>15</v>
      </c>
      <c r="AG76" s="4">
        <v>1</v>
      </c>
      <c r="AI76" s="3">
        <v>1</v>
      </c>
      <c r="AJ76" s="398">
        <f>AI76+12</f>
        <v>13</v>
      </c>
      <c r="AK76" s="3">
        <v>1</v>
      </c>
      <c r="AL76" s="398">
        <f>AK76+7</f>
        <v>8</v>
      </c>
      <c r="AM76" s="57">
        <v>16.2</v>
      </c>
      <c r="AN76" s="57">
        <v>16.1</v>
      </c>
      <c r="AO76" s="57">
        <v>15</v>
      </c>
      <c r="AQ76" s="57">
        <v>2</v>
      </c>
      <c r="AR76" s="398">
        <f>AQ76+5</f>
        <v>7</v>
      </c>
      <c r="AS76" s="4">
        <v>2</v>
      </c>
      <c r="AW76" s="3"/>
      <c r="AX76" s="79">
        <v>21</v>
      </c>
      <c r="AY76" s="398">
        <f>AX76+380</f>
        <v>401</v>
      </c>
      <c r="AZ76" s="3">
        <v>45</v>
      </c>
      <c r="BA76" s="3">
        <v>21</v>
      </c>
      <c r="BB76" s="57">
        <v>7</v>
      </c>
      <c r="BC76" s="398">
        <f>BB76+84</f>
        <v>91</v>
      </c>
      <c r="BD76" s="400">
        <v>12</v>
      </c>
      <c r="BE76" s="3"/>
      <c r="BG76" s="3"/>
      <c r="BH76" s="61"/>
      <c r="BK76" s="401"/>
      <c r="BL76" s="61"/>
      <c r="BM76" s="107"/>
      <c r="BN76" s="61"/>
    </row>
    <row r="77" spans="1:73" ht="12" customHeight="1">
      <c r="A77" s="3" t="s">
        <v>38</v>
      </c>
      <c r="B77" s="59">
        <v>28</v>
      </c>
      <c r="C77" s="3">
        <v>3</v>
      </c>
      <c r="D77" s="398">
        <f>C77+51</f>
        <v>54</v>
      </c>
      <c r="E77" s="3">
        <v>3</v>
      </c>
      <c r="F77" s="4">
        <f>E77+59</f>
        <v>62</v>
      </c>
      <c r="G77" s="4">
        <v>8</v>
      </c>
      <c r="H77" s="4">
        <v>9</v>
      </c>
      <c r="I77" s="3">
        <v>61</v>
      </c>
      <c r="J77" s="3">
        <v>-46</v>
      </c>
      <c r="M77" s="79">
        <v>45</v>
      </c>
      <c r="N77" s="79"/>
      <c r="O77" s="398">
        <v>29</v>
      </c>
      <c r="P77" s="4">
        <v>61</v>
      </c>
      <c r="Q77" s="4">
        <v>0</v>
      </c>
      <c r="R77" s="4">
        <v>5</v>
      </c>
      <c r="S77" s="398">
        <f>M77+475</f>
        <v>520</v>
      </c>
      <c r="T77" s="4">
        <f>N77+38</f>
        <v>38</v>
      </c>
      <c r="U77" s="4">
        <f t="shared" si="7"/>
        <v>22.5</v>
      </c>
      <c r="V77" s="398">
        <f t="shared" si="8"/>
        <v>298</v>
      </c>
      <c r="W77" s="3">
        <v>13</v>
      </c>
      <c r="X77" s="398">
        <f>W77+35</f>
        <v>48</v>
      </c>
      <c r="Y77" s="3">
        <v>139</v>
      </c>
      <c r="Z77" s="79">
        <v>11</v>
      </c>
      <c r="AA77" s="398">
        <f>Z77+150</f>
        <v>161</v>
      </c>
      <c r="AB77" s="394">
        <v>21</v>
      </c>
      <c r="AC77" s="394">
        <v>5</v>
      </c>
      <c r="AD77" s="57">
        <v>1</v>
      </c>
      <c r="AE77" s="398">
        <f>AD77+19</f>
        <v>20</v>
      </c>
      <c r="AF77" s="394">
        <v>5</v>
      </c>
      <c r="AG77" s="4">
        <v>0</v>
      </c>
      <c r="AI77" s="3">
        <v>2</v>
      </c>
      <c r="AJ77" s="398">
        <f>AI77+38+0.03</f>
        <v>40.03</v>
      </c>
      <c r="AK77" s="3">
        <v>1</v>
      </c>
      <c r="AL77" s="398">
        <f>AK77+3</f>
        <v>4</v>
      </c>
      <c r="AM77" s="57">
        <v>15.2</v>
      </c>
      <c r="AN77" s="57">
        <v>19.1</v>
      </c>
      <c r="AO77" s="57">
        <v>33</v>
      </c>
      <c r="AQ77" s="57"/>
      <c r="AR77" s="398">
        <f>AQ77+15</f>
        <v>15</v>
      </c>
      <c r="AS77" s="396">
        <v>4</v>
      </c>
      <c r="AW77" s="3"/>
      <c r="AX77" s="79">
        <v>36</v>
      </c>
      <c r="AY77" s="398">
        <f>AX77+342</f>
        <v>378</v>
      </c>
      <c r="AZ77" s="3">
        <v>44</v>
      </c>
      <c r="BA77" s="3">
        <v>21</v>
      </c>
      <c r="BB77" s="57">
        <v>4</v>
      </c>
      <c r="BC77" s="398">
        <f>BB77+52</f>
        <v>56</v>
      </c>
      <c r="BD77" s="400">
        <v>7</v>
      </c>
      <c r="BE77" s="3"/>
      <c r="BG77" s="3"/>
      <c r="BH77" s="397"/>
      <c r="BK77" s="401"/>
      <c r="BL77" s="61"/>
      <c r="BM77" s="107"/>
      <c r="BN77" s="61"/>
      <c r="BU77" s="61"/>
    </row>
    <row r="78" spans="1:66" ht="12" customHeight="1">
      <c r="A78" s="3" t="s">
        <v>39</v>
      </c>
      <c r="B78" s="59">
        <v>28</v>
      </c>
      <c r="C78" s="3">
        <v>2</v>
      </c>
      <c r="D78" s="4">
        <f>C78+42</f>
        <v>44</v>
      </c>
      <c r="E78" s="3">
        <v>7</v>
      </c>
      <c r="F78" s="4">
        <f>E78+53</f>
        <v>60</v>
      </c>
      <c r="G78" s="4">
        <v>7</v>
      </c>
      <c r="H78" s="4">
        <v>7</v>
      </c>
      <c r="I78" s="3">
        <v>63</v>
      </c>
      <c r="J78" s="3">
        <v>-56</v>
      </c>
      <c r="L78" s="3">
        <v>1</v>
      </c>
      <c r="M78" s="79">
        <v>44</v>
      </c>
      <c r="N78" s="79">
        <v>9</v>
      </c>
      <c r="O78" s="4">
        <v>35</v>
      </c>
      <c r="P78" s="4">
        <v>62</v>
      </c>
      <c r="Q78" s="4">
        <v>2</v>
      </c>
      <c r="R78" s="398">
        <v>9</v>
      </c>
      <c r="S78" s="398">
        <f>M78+502</f>
        <v>546</v>
      </c>
      <c r="T78" s="4">
        <f>N78+51</f>
        <v>60</v>
      </c>
      <c r="U78" s="4">
        <f t="shared" si="7"/>
        <v>31</v>
      </c>
      <c r="V78" s="398">
        <f t="shared" si="8"/>
        <v>333</v>
      </c>
      <c r="W78" s="3">
        <v>1</v>
      </c>
      <c r="X78" s="398">
        <f>W78+47</f>
        <v>48</v>
      </c>
      <c r="Y78" s="3">
        <v>128</v>
      </c>
      <c r="Z78" s="79">
        <v>10</v>
      </c>
      <c r="AA78" s="398">
        <f>Z78+159</f>
        <v>169</v>
      </c>
      <c r="AB78" s="394">
        <v>22</v>
      </c>
      <c r="AC78" s="394">
        <v>7</v>
      </c>
      <c r="AD78" s="57">
        <v>3</v>
      </c>
      <c r="AE78" s="398">
        <f>AD78+33</f>
        <v>36</v>
      </c>
      <c r="AF78" s="394">
        <v>7</v>
      </c>
      <c r="AG78" s="4">
        <v>1</v>
      </c>
      <c r="AJ78" s="398">
        <f>AI78+27+0.02</f>
        <v>27.02</v>
      </c>
      <c r="AL78" s="398">
        <f>AK78+3</f>
        <v>3</v>
      </c>
      <c r="AM78" s="57">
        <v>15</v>
      </c>
      <c r="AN78" s="57">
        <v>13.2</v>
      </c>
      <c r="AO78" s="57">
        <v>21</v>
      </c>
      <c r="AQ78" s="57">
        <v>2</v>
      </c>
      <c r="AR78" s="398">
        <f>AQ78+26</f>
        <v>28</v>
      </c>
      <c r="AS78" s="396">
        <v>4</v>
      </c>
      <c r="AW78" s="3">
        <v>2</v>
      </c>
      <c r="AX78" s="79">
        <v>33</v>
      </c>
      <c r="AY78" s="398">
        <f>AX78+315</f>
        <v>348</v>
      </c>
      <c r="AZ78" s="3">
        <v>39</v>
      </c>
      <c r="BA78" s="3">
        <v>20</v>
      </c>
      <c r="BB78" s="57">
        <v>5</v>
      </c>
      <c r="BC78" s="398">
        <f>BB78+62</f>
        <v>67</v>
      </c>
      <c r="BD78" s="400">
        <v>9</v>
      </c>
      <c r="BE78" s="3"/>
      <c r="BG78" s="3"/>
      <c r="BH78" s="397"/>
      <c r="BK78" s="401"/>
      <c r="BL78" s="61"/>
      <c r="BM78" s="107"/>
      <c r="BN78" s="61"/>
    </row>
    <row r="79" spans="1:66" ht="12" customHeight="1">
      <c r="A79" s="3" t="s">
        <v>40</v>
      </c>
      <c r="B79" s="59">
        <v>28</v>
      </c>
      <c r="C79" s="3">
        <v>1</v>
      </c>
      <c r="D79" s="398">
        <f>C79+52</f>
        <v>53</v>
      </c>
      <c r="E79" s="3">
        <v>6</v>
      </c>
      <c r="F79" s="4">
        <f>E79+84</f>
        <v>90</v>
      </c>
      <c r="G79" s="4">
        <v>8</v>
      </c>
      <c r="H79" s="4">
        <v>13</v>
      </c>
      <c r="I79" s="3">
        <v>61</v>
      </c>
      <c r="J79" s="3">
        <v>-53</v>
      </c>
      <c r="K79" s="3">
        <v>2</v>
      </c>
      <c r="L79" s="3">
        <v>1</v>
      </c>
      <c r="M79" s="79">
        <v>41</v>
      </c>
      <c r="N79" s="79">
        <v>3</v>
      </c>
      <c r="O79" s="4">
        <v>38</v>
      </c>
      <c r="P79" s="4">
        <v>53</v>
      </c>
      <c r="Q79" s="4">
        <v>1</v>
      </c>
      <c r="R79" s="4">
        <v>8</v>
      </c>
      <c r="S79" s="398">
        <f>M79+526</f>
        <v>567</v>
      </c>
      <c r="T79" s="4">
        <f>N79+49</f>
        <v>52</v>
      </c>
      <c r="U79" s="4">
        <f t="shared" si="7"/>
        <v>23.5</v>
      </c>
      <c r="V79" s="398">
        <f t="shared" si="8"/>
        <v>335.5</v>
      </c>
      <c r="W79" s="3">
        <v>1</v>
      </c>
      <c r="X79" s="398">
        <f>W79+47</f>
        <v>48</v>
      </c>
      <c r="Y79" s="3">
        <v>92</v>
      </c>
      <c r="Z79" s="79">
        <v>8</v>
      </c>
      <c r="AA79" s="398">
        <f>Z79+125</f>
        <v>133</v>
      </c>
      <c r="AB79" s="394">
        <v>19</v>
      </c>
      <c r="AC79" s="394">
        <v>2</v>
      </c>
      <c r="AD79" s="57"/>
      <c r="AE79" s="398">
        <f>AD79+27</f>
        <v>27</v>
      </c>
      <c r="AF79" s="394">
        <v>5</v>
      </c>
      <c r="AG79" s="4">
        <v>0</v>
      </c>
      <c r="AJ79" s="398">
        <f>AI79+22</f>
        <v>22</v>
      </c>
      <c r="AK79" s="3">
        <v>1</v>
      </c>
      <c r="AL79" s="398">
        <f>AK79+4</f>
        <v>5</v>
      </c>
      <c r="AM79" s="57">
        <v>14.1</v>
      </c>
      <c r="AN79" s="57">
        <v>9</v>
      </c>
      <c r="AO79" s="57">
        <v>19</v>
      </c>
      <c r="AP79" s="146"/>
      <c r="AQ79" s="57">
        <v>1</v>
      </c>
      <c r="AR79" s="398">
        <f>AQ79+5</f>
        <v>6</v>
      </c>
      <c r="AS79" s="4">
        <v>2</v>
      </c>
      <c r="AW79" s="3">
        <v>1</v>
      </c>
      <c r="AX79" s="79">
        <v>20</v>
      </c>
      <c r="AY79" s="398">
        <f>AX79+330</f>
        <v>350</v>
      </c>
      <c r="AZ79" s="3">
        <v>36</v>
      </c>
      <c r="BA79" s="79">
        <v>11</v>
      </c>
      <c r="BB79" s="57">
        <v>8</v>
      </c>
      <c r="BC79" s="398">
        <f>BB79+78</f>
        <v>86</v>
      </c>
      <c r="BD79" s="400">
        <v>13</v>
      </c>
      <c r="BE79" s="146"/>
      <c r="BG79" s="3"/>
      <c r="BH79" s="397"/>
      <c r="BK79" s="401"/>
      <c r="BL79" s="61"/>
      <c r="BM79" s="107"/>
      <c r="BN79" s="61"/>
    </row>
    <row r="80" spans="1:66" ht="12" customHeight="1">
      <c r="A80" s="3" t="s">
        <v>41</v>
      </c>
      <c r="B80" s="59">
        <v>28</v>
      </c>
      <c r="C80" s="3">
        <v>10</v>
      </c>
      <c r="D80" s="4">
        <f>C80+35</f>
        <v>45</v>
      </c>
      <c r="E80" s="3">
        <v>7</v>
      </c>
      <c r="F80" s="4">
        <f>E80+67</f>
        <v>74</v>
      </c>
      <c r="G80" s="4">
        <v>10</v>
      </c>
      <c r="H80" s="4">
        <v>10</v>
      </c>
      <c r="I80" s="3">
        <v>54</v>
      </c>
      <c r="J80" s="3">
        <v>-51</v>
      </c>
      <c r="M80" s="79">
        <v>36</v>
      </c>
      <c r="N80" s="79">
        <v>1</v>
      </c>
      <c r="O80" s="4">
        <v>28</v>
      </c>
      <c r="P80" s="4">
        <v>50</v>
      </c>
      <c r="Q80" s="4">
        <v>1</v>
      </c>
      <c r="R80" s="4">
        <v>8</v>
      </c>
      <c r="S80" s="398">
        <f>M80+490</f>
        <v>526</v>
      </c>
      <c r="T80" s="4">
        <f>N80+49</f>
        <v>50</v>
      </c>
      <c r="U80" s="4">
        <f t="shared" si="7"/>
        <v>19</v>
      </c>
      <c r="V80" s="398">
        <f t="shared" si="8"/>
        <v>313</v>
      </c>
      <c r="X80" s="398">
        <f>W80+12</f>
        <v>12</v>
      </c>
      <c r="Y80" s="3">
        <v>100</v>
      </c>
      <c r="Z80" s="79">
        <v>16</v>
      </c>
      <c r="AA80" s="398">
        <f>Z80+145</f>
        <v>161</v>
      </c>
      <c r="AB80" s="394">
        <v>23</v>
      </c>
      <c r="AC80" s="394">
        <v>8</v>
      </c>
      <c r="AD80" s="57">
        <v>1</v>
      </c>
      <c r="AE80" s="398">
        <f>AD80+19</f>
        <v>20</v>
      </c>
      <c r="AF80" s="394">
        <v>4</v>
      </c>
      <c r="AG80" s="4">
        <v>0</v>
      </c>
      <c r="AI80" s="3">
        <v>2</v>
      </c>
      <c r="AJ80" s="398">
        <f>AI80+22+0.01</f>
        <v>24.01</v>
      </c>
      <c r="AL80" s="398">
        <f>AK80+4</f>
        <v>4</v>
      </c>
      <c r="AM80" s="57">
        <v>12</v>
      </c>
      <c r="AN80" s="57">
        <v>9.1</v>
      </c>
      <c r="AO80" s="57">
        <v>21</v>
      </c>
      <c r="AQ80" s="57"/>
      <c r="AR80" s="398">
        <f>AQ80+11</f>
        <v>11</v>
      </c>
      <c r="AS80" s="4">
        <v>2</v>
      </c>
      <c r="AW80" s="3"/>
      <c r="AX80" s="79">
        <v>30</v>
      </c>
      <c r="AY80" s="398">
        <f>AX80+291</f>
        <v>321</v>
      </c>
      <c r="AZ80" s="79">
        <v>49</v>
      </c>
      <c r="BA80" s="3">
        <v>17</v>
      </c>
      <c r="BB80" s="57">
        <v>3</v>
      </c>
      <c r="BC80" s="398">
        <f>BB80+67</f>
        <v>70</v>
      </c>
      <c r="BD80" s="400">
        <v>9</v>
      </c>
      <c r="BE80" s="3"/>
      <c r="BG80" s="3"/>
      <c r="BH80" s="397"/>
      <c r="BK80" s="401"/>
      <c r="BL80" s="61"/>
      <c r="BM80" s="107"/>
      <c r="BN80" s="61"/>
    </row>
    <row r="81" spans="1:67" ht="12" customHeight="1">
      <c r="A81" s="3" t="s">
        <v>42</v>
      </c>
      <c r="B81" s="59">
        <v>28</v>
      </c>
      <c r="C81" s="3">
        <v>5</v>
      </c>
      <c r="D81" s="398">
        <f>C81+47</f>
        <v>52</v>
      </c>
      <c r="E81" s="3">
        <v>5</v>
      </c>
      <c r="F81" s="398">
        <f>E81+76</f>
        <v>81</v>
      </c>
      <c r="G81" s="4">
        <v>8</v>
      </c>
      <c r="H81" s="4">
        <v>14</v>
      </c>
      <c r="I81" s="3">
        <v>58</v>
      </c>
      <c r="J81" s="3">
        <v>-57</v>
      </c>
      <c r="K81" s="3">
        <v>1</v>
      </c>
      <c r="L81" s="3">
        <v>1</v>
      </c>
      <c r="M81" s="79">
        <v>35</v>
      </c>
      <c r="N81" s="79">
        <v>2</v>
      </c>
      <c r="O81" s="4">
        <v>24</v>
      </c>
      <c r="P81" s="398">
        <v>63</v>
      </c>
      <c r="Q81" s="4">
        <v>2</v>
      </c>
      <c r="R81" s="398">
        <v>9</v>
      </c>
      <c r="S81" s="398">
        <f>M81+502</f>
        <v>537</v>
      </c>
      <c r="T81" s="4">
        <f>N81+53</f>
        <v>55</v>
      </c>
      <c r="U81" s="4">
        <f t="shared" si="7"/>
        <v>19.5</v>
      </c>
      <c r="V81" s="398">
        <f t="shared" si="8"/>
        <v>323.5</v>
      </c>
      <c r="X81" s="398">
        <f>W81+52</f>
        <v>52</v>
      </c>
      <c r="Y81" s="3">
        <v>108</v>
      </c>
      <c r="Z81" s="79">
        <v>24</v>
      </c>
      <c r="AA81" s="398">
        <f>Z81+135</f>
        <v>159</v>
      </c>
      <c r="AB81" s="399">
        <v>24</v>
      </c>
      <c r="AC81" s="394">
        <v>8</v>
      </c>
      <c r="AD81" s="57">
        <v>2</v>
      </c>
      <c r="AE81" s="398">
        <f>AD81+27</f>
        <v>29</v>
      </c>
      <c r="AF81" s="394">
        <v>6</v>
      </c>
      <c r="AG81" s="4">
        <v>0</v>
      </c>
      <c r="AI81" s="3">
        <v>2</v>
      </c>
      <c r="AJ81" s="398">
        <f>AI81+26</f>
        <v>28</v>
      </c>
      <c r="AK81" s="3">
        <v>1</v>
      </c>
      <c r="AL81" s="398">
        <f>AK81+4</f>
        <v>5</v>
      </c>
      <c r="AM81" s="57">
        <v>17.1</v>
      </c>
      <c r="AN81" s="57">
        <v>16</v>
      </c>
      <c r="AO81" s="57">
        <v>24</v>
      </c>
      <c r="AQ81" s="57">
        <v>2</v>
      </c>
      <c r="AR81" s="398">
        <f>AQ81+5</f>
        <v>7</v>
      </c>
      <c r="AS81" s="4">
        <v>2</v>
      </c>
      <c r="AW81" s="3"/>
      <c r="AX81" s="79">
        <v>36</v>
      </c>
      <c r="AY81" s="398">
        <f>AX81+340</f>
        <v>376</v>
      </c>
      <c r="AZ81" s="3">
        <v>39</v>
      </c>
      <c r="BA81" s="3">
        <v>21</v>
      </c>
      <c r="BB81" s="57">
        <v>5</v>
      </c>
      <c r="BC81" s="398">
        <f>BB81+71</f>
        <v>76</v>
      </c>
      <c r="BD81" s="400">
        <v>12</v>
      </c>
      <c r="BE81" s="3"/>
      <c r="BG81" s="3"/>
      <c r="BH81" s="397"/>
      <c r="BK81" s="401"/>
      <c r="BL81" s="61"/>
      <c r="BM81" s="3"/>
      <c r="BN81" s="61"/>
      <c r="BO81" s="3"/>
    </row>
    <row r="82" spans="1:81" ht="12" customHeight="1">
      <c r="A82" s="3" t="s">
        <v>43</v>
      </c>
      <c r="C82" s="3">
        <f aca="true" t="shared" si="9" ref="C82:AG82">SUM(C74:C81)</f>
        <v>30</v>
      </c>
      <c r="D82" s="4">
        <f t="shared" si="9"/>
        <v>364</v>
      </c>
      <c r="E82" s="3">
        <f t="shared" si="9"/>
        <v>42</v>
      </c>
      <c r="F82" s="3">
        <f t="shared" si="9"/>
        <v>594</v>
      </c>
      <c r="G82" s="3">
        <f t="shared" si="9"/>
        <v>60</v>
      </c>
      <c r="H82" s="3">
        <f t="shared" si="9"/>
        <v>90</v>
      </c>
      <c r="I82" s="3">
        <f t="shared" si="9"/>
        <v>440</v>
      </c>
      <c r="J82" s="3">
        <f t="shared" si="9"/>
        <v>-440</v>
      </c>
      <c r="K82" s="3">
        <f t="shared" si="9"/>
        <v>5</v>
      </c>
      <c r="L82" s="3">
        <f t="shared" si="9"/>
        <v>5</v>
      </c>
      <c r="M82" s="136">
        <f t="shared" si="9"/>
        <v>309</v>
      </c>
      <c r="N82" s="3">
        <f t="shared" si="9"/>
        <v>29</v>
      </c>
      <c r="O82" s="136">
        <f t="shared" si="9"/>
        <v>246</v>
      </c>
      <c r="P82" s="3">
        <f t="shared" si="9"/>
        <v>456</v>
      </c>
      <c r="Q82" s="3">
        <f t="shared" si="9"/>
        <v>12</v>
      </c>
      <c r="R82" s="3">
        <f t="shared" si="9"/>
        <v>62</v>
      </c>
      <c r="S82" s="3">
        <f t="shared" si="9"/>
        <v>4345</v>
      </c>
      <c r="T82" s="3">
        <f t="shared" si="9"/>
        <v>431</v>
      </c>
      <c r="U82" s="398">
        <f t="shared" si="9"/>
        <v>183.5</v>
      </c>
      <c r="V82" s="3">
        <f t="shared" si="9"/>
        <v>2603.5</v>
      </c>
      <c r="W82" s="3">
        <f t="shared" si="9"/>
        <v>28</v>
      </c>
      <c r="X82" s="3">
        <f t="shared" si="9"/>
        <v>351</v>
      </c>
      <c r="Y82" s="3">
        <f t="shared" si="9"/>
        <v>824</v>
      </c>
      <c r="Z82" s="136">
        <f t="shared" si="9"/>
        <v>97</v>
      </c>
      <c r="AA82" s="395">
        <f t="shared" si="9"/>
        <v>1226</v>
      </c>
      <c r="AB82" s="395">
        <f t="shared" si="9"/>
        <v>169</v>
      </c>
      <c r="AC82" s="394">
        <f t="shared" si="9"/>
        <v>52</v>
      </c>
      <c r="AD82" s="395">
        <f t="shared" si="9"/>
        <v>25</v>
      </c>
      <c r="AE82" s="395">
        <f t="shared" si="9"/>
        <v>266</v>
      </c>
      <c r="AF82" s="395">
        <f t="shared" si="9"/>
        <v>59</v>
      </c>
      <c r="AG82" s="3">
        <f t="shared" si="9"/>
        <v>3</v>
      </c>
      <c r="AI82" s="136">
        <f aca="true" t="shared" si="10" ref="AI82:AO82">SUM(AI74:AI81)</f>
        <v>9</v>
      </c>
      <c r="AJ82" s="4">
        <f t="shared" si="10"/>
        <v>205.09</v>
      </c>
      <c r="AK82" s="3">
        <f t="shared" si="10"/>
        <v>5</v>
      </c>
      <c r="AL82" s="3">
        <f t="shared" si="10"/>
        <v>37</v>
      </c>
      <c r="AM82" s="3">
        <f t="shared" si="10"/>
        <v>107.69999999999999</v>
      </c>
      <c r="AN82" s="3">
        <f t="shared" si="10"/>
        <v>107.69999999999999</v>
      </c>
      <c r="AO82" s="3">
        <f t="shared" si="10"/>
        <v>193</v>
      </c>
      <c r="AQ82" s="3">
        <f>SUM(AQ74:AQ81)</f>
        <v>8</v>
      </c>
      <c r="AR82" s="398">
        <f>SUM(AR74:AR81)</f>
        <v>87</v>
      </c>
      <c r="AS82" s="4"/>
      <c r="AW82" s="3"/>
      <c r="AX82" s="3">
        <f>SUM(AX74:AX81)</f>
        <v>233</v>
      </c>
      <c r="AY82" s="4">
        <f>SUM(AY74:AY81)</f>
        <v>2867</v>
      </c>
      <c r="BA82" s="3"/>
      <c r="BC82" s="4">
        <f>SUM(BC74:BC81)</f>
        <v>570</v>
      </c>
      <c r="BE82" s="3"/>
      <c r="BG82" s="3"/>
      <c r="BH82" s="397"/>
      <c r="BK82" s="401"/>
      <c r="BL82" s="83"/>
      <c r="BM82" s="83"/>
      <c r="BN82" s="83"/>
      <c r="BO82" s="83"/>
      <c r="BP82" s="83"/>
      <c r="BQ82" s="84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</row>
    <row r="83" spans="4:66" ht="12" customHeight="1">
      <c r="D83" s="4"/>
      <c r="M83" s="136"/>
      <c r="O83" s="136"/>
      <c r="W83" s="402" t="s">
        <v>411</v>
      </c>
      <c r="Y83" s="403">
        <v>65</v>
      </c>
      <c r="Z83" s="136"/>
      <c r="AA83" s="395"/>
      <c r="AB83" s="395"/>
      <c r="AC83" s="394"/>
      <c r="AD83" s="395"/>
      <c r="AE83" s="395"/>
      <c r="AF83" s="395"/>
      <c r="AI83" s="136"/>
      <c r="AJ83" s="136"/>
      <c r="AN83" s="3"/>
      <c r="AO83" s="3"/>
      <c r="AR83" s="4"/>
      <c r="AS83" s="4"/>
      <c r="AW83" s="3"/>
      <c r="AZ83" s="61"/>
      <c r="BA83" s="3"/>
      <c r="BC83" s="3"/>
      <c r="BE83" s="3"/>
      <c r="BG83" s="3"/>
      <c r="BH83" s="397"/>
      <c r="BK83" s="401"/>
      <c r="BL83" s="61"/>
      <c r="BM83" s="3"/>
      <c r="BN83" s="61"/>
    </row>
    <row r="84" spans="3:66" ht="12" customHeight="1">
      <c r="C84" s="3" t="s">
        <v>412</v>
      </c>
      <c r="D84" s="4"/>
      <c r="M84" s="136"/>
      <c r="O84" s="136"/>
      <c r="V84" s="395" t="s">
        <v>413</v>
      </c>
      <c r="W84" s="404">
        <v>24</v>
      </c>
      <c r="Y84" s="3">
        <f>499+65+65+65+65+65</f>
        <v>824</v>
      </c>
      <c r="Z84" s="136" t="s">
        <v>414</v>
      </c>
      <c r="AA84" s="395"/>
      <c r="AB84" s="395"/>
      <c r="AC84" s="394"/>
      <c r="AD84" s="395"/>
      <c r="AE84" s="395"/>
      <c r="AF84" s="395"/>
      <c r="AI84" s="136"/>
      <c r="AJ84" s="136">
        <v>181.1</v>
      </c>
      <c r="AN84" s="3"/>
      <c r="AO84" s="3"/>
      <c r="AR84" s="4"/>
      <c r="AS84" s="4"/>
      <c r="AW84" s="3"/>
      <c r="AY84" s="4"/>
      <c r="BA84" s="3"/>
      <c r="BC84" s="3"/>
      <c r="BE84" s="3"/>
      <c r="BG84" s="3"/>
      <c r="BH84" s="61"/>
      <c r="BI84" s="3"/>
      <c r="BJ84" s="61"/>
      <c r="BK84" s="3"/>
      <c r="BL84" s="61"/>
      <c r="BM84" s="3"/>
      <c r="BN84" s="61"/>
    </row>
    <row r="85" spans="29:65" ht="15.75">
      <c r="AC85" s="3"/>
      <c r="AW85" s="3"/>
      <c r="AZ85" s="61"/>
      <c r="BA85" s="3"/>
      <c r="BC85" s="3"/>
      <c r="BE85" s="83"/>
      <c r="BF85" s="61"/>
      <c r="BG85" s="112"/>
      <c r="BH85" s="405"/>
      <c r="BI85" s="3"/>
      <c r="BJ85" s="406"/>
      <c r="BK85" s="406"/>
      <c r="BL85" s="407"/>
      <c r="BM85" s="3"/>
    </row>
    <row r="86" spans="29:66" ht="15.75">
      <c r="AC86" s="3"/>
      <c r="AO86" s="408"/>
      <c r="AP86" s="408"/>
      <c r="AQ86" s="408"/>
      <c r="AR86" s="408"/>
      <c r="AW86" s="3"/>
      <c r="AZ86" s="61"/>
      <c r="BA86" s="3"/>
      <c r="BC86" s="3"/>
      <c r="BD86" s="61"/>
      <c r="BE86" s="3"/>
      <c r="BF86" s="61"/>
      <c r="BG86" s="3"/>
      <c r="BH86" s="61"/>
      <c r="BI86" s="3"/>
      <c r="BJ86" s="61"/>
      <c r="BK86" s="3"/>
      <c r="BL86" s="61"/>
      <c r="BM86" s="3"/>
      <c r="BN86" s="61"/>
    </row>
    <row r="87" spans="29:66" ht="15.75">
      <c r="AC87" s="3"/>
      <c r="AO87" s="408"/>
      <c r="AP87" s="408"/>
      <c r="AQ87" s="408"/>
      <c r="AR87" s="408"/>
      <c r="AW87" s="3"/>
      <c r="AZ87" s="61"/>
      <c r="BA87" s="3"/>
      <c r="BC87" s="3"/>
      <c r="BD87" s="61"/>
      <c r="BE87" s="3"/>
      <c r="BF87" s="61"/>
      <c r="BG87" s="3"/>
      <c r="BH87" s="61"/>
      <c r="BI87" s="3"/>
      <c r="BJ87" s="61"/>
      <c r="BK87" s="3"/>
      <c r="BL87" s="61"/>
      <c r="BM87" s="3"/>
      <c r="BN87" s="61"/>
    </row>
    <row r="88" spans="41:66" ht="15.75">
      <c r="AO88" s="408"/>
      <c r="AP88" s="408"/>
      <c r="AQ88" s="408"/>
      <c r="AR88" s="408"/>
      <c r="AW88" s="3"/>
      <c r="AZ88" s="61"/>
      <c r="BA88" s="3"/>
      <c r="BC88" s="3"/>
      <c r="BD88" s="61"/>
      <c r="BE88" s="3"/>
      <c r="BF88" s="61"/>
      <c r="BG88" s="3"/>
      <c r="BH88" s="61"/>
      <c r="BI88" s="3"/>
      <c r="BJ88" s="61"/>
      <c r="BK88" s="3"/>
      <c r="BL88" s="61"/>
      <c r="BM88" s="3"/>
      <c r="BN88" s="61"/>
    </row>
    <row r="89" spans="29:66" ht="15.75">
      <c r="AC89" s="3"/>
      <c r="AO89" s="408"/>
      <c r="AP89" s="408"/>
      <c r="AQ89" s="408"/>
      <c r="AR89" s="408"/>
      <c r="AW89" s="3"/>
      <c r="AZ89" s="61"/>
      <c r="BA89" s="3"/>
      <c r="BC89" s="3"/>
      <c r="BD89" s="61"/>
      <c r="BE89" s="3"/>
      <c r="BF89" s="61"/>
      <c r="BG89" s="3"/>
      <c r="BH89" s="61"/>
      <c r="BI89" s="3"/>
      <c r="BJ89" s="61"/>
      <c r="BK89" s="3"/>
      <c r="BL89" s="61"/>
      <c r="BM89" s="3"/>
      <c r="BN89" s="61"/>
    </row>
    <row r="90" spans="29:66" ht="15.75">
      <c r="AC90" s="3"/>
      <c r="AO90" s="408"/>
      <c r="AP90" s="408"/>
      <c r="AQ90" s="408"/>
      <c r="AR90" s="408"/>
      <c r="AW90" s="3"/>
      <c r="AZ90" s="61"/>
      <c r="BA90" s="3"/>
      <c r="BC90" s="3"/>
      <c r="BD90" s="61"/>
      <c r="BE90" s="3"/>
      <c r="BF90" s="61"/>
      <c r="BG90" s="3"/>
      <c r="BH90" s="61"/>
      <c r="BI90" s="3"/>
      <c r="BJ90" s="61"/>
      <c r="BK90" s="3"/>
      <c r="BL90" s="61"/>
      <c r="BM90" s="3"/>
      <c r="BN90" s="61"/>
    </row>
    <row r="91" spans="29:66" ht="15.75">
      <c r="AC91" s="3"/>
      <c r="AO91" s="408"/>
      <c r="AP91" s="408"/>
      <c r="AQ91" s="408"/>
      <c r="AR91" s="408"/>
      <c r="AW91" s="3"/>
      <c r="AZ91" s="61"/>
      <c r="BA91" s="3"/>
      <c r="BC91" s="3"/>
      <c r="BD91" s="61"/>
      <c r="BE91" s="3"/>
      <c r="BF91" s="61"/>
      <c r="BG91" s="3"/>
      <c r="BH91" s="61"/>
      <c r="BI91" s="3"/>
      <c r="BJ91" s="61"/>
      <c r="BK91" s="3"/>
      <c r="BL91" s="61"/>
      <c r="BM91" s="3"/>
      <c r="BN91" s="61"/>
    </row>
    <row r="92" spans="29:66" ht="15.75">
      <c r="AC92" s="3"/>
      <c r="AO92" s="408"/>
      <c r="AP92" s="408"/>
      <c r="AQ92" s="408"/>
      <c r="AR92" s="408"/>
      <c r="AW92" s="3"/>
      <c r="AZ92" s="61"/>
      <c r="BA92" s="3"/>
      <c r="BC92" s="3"/>
      <c r="BD92" s="61"/>
      <c r="BE92" s="3"/>
      <c r="BF92" s="61"/>
      <c r="BG92" s="3"/>
      <c r="BH92" s="61"/>
      <c r="BI92" s="3"/>
      <c r="BJ92" s="61"/>
      <c r="BK92" s="3"/>
      <c r="BL92" s="61"/>
      <c r="BM92" s="3"/>
      <c r="BN92" s="61"/>
    </row>
    <row r="93" spans="29:66" ht="15.75">
      <c r="AC93" s="3"/>
      <c r="AO93" s="408"/>
      <c r="AP93" s="408"/>
      <c r="AQ93" s="408"/>
      <c r="AR93" s="408"/>
      <c r="AW93" s="3"/>
      <c r="AZ93" s="61"/>
      <c r="BA93" s="3"/>
      <c r="BC93" s="3"/>
      <c r="BD93" s="61"/>
      <c r="BE93" s="3"/>
      <c r="BF93" s="61"/>
      <c r="BG93" s="3"/>
      <c r="BH93" s="61"/>
      <c r="BI93" s="3"/>
      <c r="BJ93" s="61"/>
      <c r="BK93" s="3"/>
      <c r="BL93" s="61"/>
      <c r="BM93" s="3"/>
      <c r="BN93" s="61"/>
    </row>
    <row r="94" spans="29:66" ht="15.75">
      <c r="AC94" s="3"/>
      <c r="AW94" s="3"/>
      <c r="AZ94" s="61"/>
      <c r="BA94" s="3"/>
      <c r="BC94" s="3"/>
      <c r="BD94" s="61"/>
      <c r="BE94" s="3"/>
      <c r="BF94" s="61"/>
      <c r="BG94" s="3"/>
      <c r="BH94" s="61"/>
      <c r="BI94" s="3"/>
      <c r="BJ94" s="61"/>
      <c r="BK94" s="3"/>
      <c r="BL94" s="61"/>
      <c r="BM94" s="3"/>
      <c r="BN94" s="61"/>
    </row>
    <row r="95" spans="29:66" ht="12" customHeight="1" thickBot="1">
      <c r="AC95" s="3"/>
      <c r="AJ95" s="3"/>
      <c r="AW95" s="3"/>
      <c r="AZ95" s="61"/>
      <c r="BA95" s="3"/>
      <c r="BC95" s="3"/>
      <c r="BD95" s="61"/>
      <c r="BE95" s="3"/>
      <c r="BF95" s="61"/>
      <c r="BG95" s="3"/>
      <c r="BH95" s="61"/>
      <c r="BI95" s="3"/>
      <c r="BJ95" s="61"/>
      <c r="BK95" s="3"/>
      <c r="BL95" s="61"/>
      <c r="BM95" s="3"/>
      <c r="BN95" s="61"/>
    </row>
    <row r="96" spans="49:66" ht="16.5" thickBot="1">
      <c r="AW96" s="3"/>
      <c r="BA96" s="3"/>
      <c r="BC96" s="3"/>
      <c r="BE96" s="3"/>
      <c r="BG96" s="3"/>
      <c r="BI96" s="3"/>
      <c r="BJ96" s="61"/>
      <c r="BK96" s="409" t="s">
        <v>415</v>
      </c>
      <c r="BL96" s="410"/>
      <c r="BM96" s="409" t="s">
        <v>416</v>
      </c>
      <c r="BN96" s="304"/>
    </row>
    <row r="97" spans="49:66" ht="16.5" thickBot="1">
      <c r="AW97" s="411" t="s">
        <v>417</v>
      </c>
      <c r="AZ97" s="61"/>
      <c r="BA97" s="3"/>
      <c r="BC97" s="412"/>
      <c r="BD97" s="413" t="s">
        <v>418</v>
      </c>
      <c r="BE97" s="414"/>
      <c r="BF97" s="415"/>
      <c r="BG97" s="416" t="s">
        <v>419</v>
      </c>
      <c r="BH97" s="414"/>
      <c r="BI97" s="417" t="s">
        <v>420</v>
      </c>
      <c r="BJ97" s="346"/>
      <c r="BK97" s="418"/>
      <c r="BL97" s="419"/>
      <c r="BM97" s="418"/>
      <c r="BN97" s="420"/>
    </row>
    <row r="98" spans="49:66" ht="16.5" thickBot="1">
      <c r="AW98" s="409" t="s">
        <v>421</v>
      </c>
      <c r="AX98" s="421"/>
      <c r="AY98" s="409" t="s">
        <v>422</v>
      </c>
      <c r="AZ98" s="410"/>
      <c r="BA98" s="409" t="s">
        <v>423</v>
      </c>
      <c r="BB98" s="106"/>
      <c r="BC98" s="422"/>
      <c r="BD98" s="423" t="s">
        <v>424</v>
      </c>
      <c r="BE98" s="424">
        <v>82</v>
      </c>
      <c r="BF98" s="345" t="s">
        <v>44</v>
      </c>
      <c r="BG98" s="345" t="s">
        <v>44</v>
      </c>
      <c r="BH98" s="425" t="s">
        <v>44</v>
      </c>
      <c r="BI98" s="426" t="s">
        <v>425</v>
      </c>
      <c r="BJ98" s="61"/>
      <c r="BK98" s="102" t="s">
        <v>38</v>
      </c>
      <c r="BL98" s="427">
        <f>AJ77</f>
        <v>40.03</v>
      </c>
      <c r="BM98" s="102" t="s">
        <v>426</v>
      </c>
      <c r="BN98" s="428">
        <f>AL76</f>
        <v>8</v>
      </c>
    </row>
    <row r="99" spans="49:66" ht="16.5" thickBot="1">
      <c r="AW99" s="220"/>
      <c r="AX99" s="420"/>
      <c r="BA99" s="220"/>
      <c r="BC99" s="422"/>
      <c r="BD99" s="423" t="s">
        <v>427</v>
      </c>
      <c r="BE99" s="424">
        <v>55</v>
      </c>
      <c r="BF99" s="3" t="s">
        <v>428</v>
      </c>
      <c r="BG99" s="3"/>
      <c r="BH99" s="429">
        <v>10.25</v>
      </c>
      <c r="BI99" s="430" t="s">
        <v>429</v>
      </c>
      <c r="BJ99" s="104"/>
      <c r="BK99" s="102" t="s">
        <v>36</v>
      </c>
      <c r="BL99" s="427">
        <f>AJ74</f>
        <v>30.01</v>
      </c>
      <c r="BM99" s="102" t="s">
        <v>46</v>
      </c>
      <c r="BN99" s="428">
        <f>AL75</f>
        <v>7</v>
      </c>
    </row>
    <row r="100" spans="49:66" ht="15.75">
      <c r="AW100" s="220" t="s">
        <v>253</v>
      </c>
      <c r="AX100" s="420">
        <v>11</v>
      </c>
      <c r="AY100" s="220" t="s">
        <v>253</v>
      </c>
      <c r="AZ100" s="420">
        <v>11</v>
      </c>
      <c r="BA100" s="220" t="s">
        <v>253</v>
      </c>
      <c r="BB100" s="3">
        <v>29</v>
      </c>
      <c r="BC100" s="422"/>
      <c r="BD100" s="423" t="s">
        <v>430</v>
      </c>
      <c r="BE100" s="424">
        <v>54</v>
      </c>
      <c r="BF100" s="3" t="s">
        <v>431</v>
      </c>
      <c r="BG100" s="3"/>
      <c r="BH100" s="429">
        <v>9.5</v>
      </c>
      <c r="BI100" s="3"/>
      <c r="BJ100" s="61"/>
      <c r="BK100" s="102" t="s">
        <v>42</v>
      </c>
      <c r="BL100" s="427">
        <f>AJ81</f>
        <v>28</v>
      </c>
      <c r="BM100" s="102" t="s">
        <v>42</v>
      </c>
      <c r="BN100" s="428">
        <f>AL81</f>
        <v>5</v>
      </c>
    </row>
    <row r="101" spans="49:66" ht="15.75">
      <c r="AW101" s="220" t="s">
        <v>190</v>
      </c>
      <c r="AX101" s="420">
        <v>5</v>
      </c>
      <c r="AY101" s="220" t="s">
        <v>190</v>
      </c>
      <c r="AZ101" s="420">
        <v>15</v>
      </c>
      <c r="BA101" s="220" t="s">
        <v>190</v>
      </c>
      <c r="BB101" s="3">
        <v>29</v>
      </c>
      <c r="BC101" s="422"/>
      <c r="BD101" s="423" t="s">
        <v>197</v>
      </c>
      <c r="BE101" s="424">
        <v>54</v>
      </c>
      <c r="BF101" s="3" t="s">
        <v>198</v>
      </c>
      <c r="BG101" s="3"/>
      <c r="BH101" s="429">
        <v>9.5</v>
      </c>
      <c r="BI101" s="102" t="s">
        <v>199</v>
      </c>
      <c r="BJ101" s="431">
        <f>49-28</f>
        <v>21</v>
      </c>
      <c r="BK101" s="102" t="s">
        <v>39</v>
      </c>
      <c r="BL101" s="427">
        <f>AJ78</f>
        <v>27.02</v>
      </c>
      <c r="BM101" s="102" t="s">
        <v>200</v>
      </c>
      <c r="BN101" s="428">
        <f>AL79</f>
        <v>5</v>
      </c>
    </row>
    <row r="102" spans="49:67" ht="15.75">
      <c r="AW102" s="220" t="s">
        <v>192</v>
      </c>
      <c r="AX102" s="420">
        <v>5</v>
      </c>
      <c r="AY102" s="220" t="s">
        <v>192</v>
      </c>
      <c r="AZ102" s="420">
        <v>8</v>
      </c>
      <c r="BA102" s="3" t="s">
        <v>192</v>
      </c>
      <c r="BB102" s="3">
        <v>15</v>
      </c>
      <c r="BC102" s="422"/>
      <c r="BD102" s="423" t="s">
        <v>201</v>
      </c>
      <c r="BE102" s="424">
        <v>53</v>
      </c>
      <c r="BF102" s="3" t="s">
        <v>202</v>
      </c>
      <c r="BG102" s="3"/>
      <c r="BH102" s="429">
        <v>9.25</v>
      </c>
      <c r="BI102" s="102" t="s">
        <v>203</v>
      </c>
      <c r="BJ102" s="431">
        <f>47-40</f>
        <v>7</v>
      </c>
      <c r="BK102" s="102" t="s">
        <v>41</v>
      </c>
      <c r="BL102" s="427">
        <f>AJ80</f>
        <v>24.01</v>
      </c>
      <c r="BM102" s="102" t="s">
        <v>189</v>
      </c>
      <c r="BN102" s="428">
        <f>AL80</f>
        <v>4</v>
      </c>
      <c r="BO102" s="3"/>
    </row>
    <row r="103" spans="49:67" ht="15.75">
      <c r="AW103" s="220" t="s">
        <v>195</v>
      </c>
      <c r="AX103" s="420">
        <v>5</v>
      </c>
      <c r="AY103" s="220" t="s">
        <v>195</v>
      </c>
      <c r="AZ103" s="420">
        <v>16</v>
      </c>
      <c r="BA103" s="220" t="s">
        <v>195</v>
      </c>
      <c r="BB103" s="3">
        <v>32</v>
      </c>
      <c r="BC103" s="422"/>
      <c r="BD103" s="423" t="s">
        <v>204</v>
      </c>
      <c r="BE103" s="424">
        <v>46</v>
      </c>
      <c r="BF103" s="3" t="s">
        <v>196</v>
      </c>
      <c r="BG103" s="3"/>
      <c r="BH103" s="429">
        <v>9</v>
      </c>
      <c r="BI103" s="102" t="s">
        <v>205</v>
      </c>
      <c r="BJ103" s="431">
        <f>42-36</f>
        <v>6</v>
      </c>
      <c r="BK103" s="102" t="s">
        <v>40</v>
      </c>
      <c r="BL103" s="427">
        <f>AJ79</f>
        <v>22</v>
      </c>
      <c r="BM103" s="102" t="s">
        <v>38</v>
      </c>
      <c r="BN103" s="428">
        <f>AL77</f>
        <v>4</v>
      </c>
      <c r="BO103" s="3"/>
    </row>
    <row r="104" spans="49:66" ht="15.75">
      <c r="AW104" s="220" t="s">
        <v>193</v>
      </c>
      <c r="AX104" s="420">
        <v>8</v>
      </c>
      <c r="AY104" s="220" t="s">
        <v>193</v>
      </c>
      <c r="AZ104" s="420">
        <v>10</v>
      </c>
      <c r="BA104" s="220" t="s">
        <v>193</v>
      </c>
      <c r="BB104" s="3">
        <v>37</v>
      </c>
      <c r="BC104" s="422"/>
      <c r="BD104" s="423" t="s">
        <v>206</v>
      </c>
      <c r="BE104" s="424">
        <v>46</v>
      </c>
      <c r="BF104" s="3" t="s">
        <v>207</v>
      </c>
      <c r="BG104" s="3"/>
      <c r="BH104" s="429">
        <v>8</v>
      </c>
      <c r="BI104" s="102" t="s">
        <v>208</v>
      </c>
      <c r="BJ104" s="431">
        <f>47-41</f>
        <v>6</v>
      </c>
      <c r="BK104" s="102" t="s">
        <v>46</v>
      </c>
      <c r="BL104" s="427">
        <f>AJ75</f>
        <v>21.02</v>
      </c>
      <c r="BM104" s="102" t="s">
        <v>39</v>
      </c>
      <c r="BN104" s="428">
        <f>AL78</f>
        <v>3</v>
      </c>
    </row>
    <row r="105" spans="49:66" ht="16.5" thickBot="1">
      <c r="AW105" s="220" t="s">
        <v>191</v>
      </c>
      <c r="AX105" s="420">
        <v>2</v>
      </c>
      <c r="AY105" s="220" t="s">
        <v>191</v>
      </c>
      <c r="AZ105" s="420">
        <v>13</v>
      </c>
      <c r="BA105" s="220" t="s">
        <v>191</v>
      </c>
      <c r="BB105" s="3">
        <v>33</v>
      </c>
      <c r="BC105" s="432"/>
      <c r="BD105" s="433" t="s">
        <v>209</v>
      </c>
      <c r="BE105" s="434">
        <v>44</v>
      </c>
      <c r="BF105" s="3" t="s">
        <v>210</v>
      </c>
      <c r="BG105" s="3"/>
      <c r="BH105" s="429">
        <v>8</v>
      </c>
      <c r="BI105" s="102" t="s">
        <v>211</v>
      </c>
      <c r="BJ105" s="431">
        <f>37-37</f>
        <v>0</v>
      </c>
      <c r="BK105" s="103" t="s">
        <v>37</v>
      </c>
      <c r="BL105" s="435">
        <f>AJ76</f>
        <v>13</v>
      </c>
      <c r="BM105" s="103" t="s">
        <v>36</v>
      </c>
      <c r="BN105" s="436">
        <f>AL74</f>
        <v>1</v>
      </c>
    </row>
    <row r="106" spans="49:66" ht="15.75">
      <c r="AW106" s="220" t="s">
        <v>46</v>
      </c>
      <c r="AX106" s="420">
        <v>5</v>
      </c>
      <c r="AY106" s="220" t="s">
        <v>46</v>
      </c>
      <c r="AZ106" s="420">
        <v>14</v>
      </c>
      <c r="BA106" s="3" t="s">
        <v>46</v>
      </c>
      <c r="BB106" s="3">
        <v>30</v>
      </c>
      <c r="BC106" s="102"/>
      <c r="BD106" s="61"/>
      <c r="BE106" s="3"/>
      <c r="BF106" s="220"/>
      <c r="BG106" s="3"/>
      <c r="BH106" s="429"/>
      <c r="BI106" s="102" t="s">
        <v>212</v>
      </c>
      <c r="BJ106" s="437">
        <f>25-33</f>
        <v>-8</v>
      </c>
      <c r="BK106" s="3"/>
      <c r="BL106" s="61"/>
      <c r="BM106" s="3"/>
      <c r="BN106" s="61"/>
    </row>
    <row r="107" spans="49:67" ht="15.75">
      <c r="AW107" s="220" t="s">
        <v>194</v>
      </c>
      <c r="AX107" s="420">
        <v>4</v>
      </c>
      <c r="AY107" s="220" t="s">
        <v>194</v>
      </c>
      <c r="AZ107" s="420">
        <v>11</v>
      </c>
      <c r="BA107" s="220" t="s">
        <v>194</v>
      </c>
      <c r="BB107" s="3">
        <v>27</v>
      </c>
      <c r="BC107" s="102"/>
      <c r="BE107" s="83"/>
      <c r="BF107" s="220"/>
      <c r="BG107" s="3"/>
      <c r="BH107" s="397"/>
      <c r="BI107" s="102" t="s">
        <v>213</v>
      </c>
      <c r="BJ107" s="437">
        <f>37-48</f>
        <v>-11</v>
      </c>
      <c r="BK107" s="3"/>
      <c r="BL107" s="61"/>
      <c r="BM107" s="3"/>
      <c r="BN107" s="83"/>
      <c r="BO107" s="3"/>
    </row>
    <row r="108" spans="49:66" ht="16.5" thickBot="1">
      <c r="AW108" s="220"/>
      <c r="AX108" s="420"/>
      <c r="AY108" s="220"/>
      <c r="AZ108" s="420"/>
      <c r="BA108" s="220"/>
      <c r="BC108" s="102"/>
      <c r="BE108" s="3"/>
      <c r="BF108" s="235"/>
      <c r="BG108" s="108"/>
      <c r="BH108" s="438"/>
      <c r="BI108" s="103" t="s">
        <v>214</v>
      </c>
      <c r="BJ108" s="439">
        <f>31-43</f>
        <v>-12</v>
      </c>
      <c r="BK108" s="3"/>
      <c r="BL108" s="61"/>
      <c r="BM108" s="3"/>
      <c r="BN108" s="61"/>
    </row>
    <row r="109" spans="49:66" ht="16.5" thickBot="1">
      <c r="AW109" s="440" t="s">
        <v>2</v>
      </c>
      <c r="AX109" s="441">
        <f>SUM(AX99:AX108)</f>
        <v>45</v>
      </c>
      <c r="AY109" s="440" t="s">
        <v>2</v>
      </c>
      <c r="AZ109" s="441">
        <f>SUM(AZ100:AZ108)</f>
        <v>98</v>
      </c>
      <c r="BA109" s="440" t="s">
        <v>2</v>
      </c>
      <c r="BB109" s="110">
        <f>SUM(BB100:BB107)</f>
        <v>232</v>
      </c>
      <c r="BC109" s="442">
        <f>SUM(AX109:BB109)</f>
        <v>375</v>
      </c>
      <c r="BD109" s="443" t="s">
        <v>215</v>
      </c>
      <c r="BE109" s="111"/>
      <c r="BN109" s="61"/>
    </row>
    <row r="110" spans="49:66" ht="16.5" thickBot="1">
      <c r="AW110" s="3"/>
      <c r="AZ110" s="61"/>
      <c r="BA110" s="3"/>
      <c r="BC110" s="3"/>
      <c r="BD110" s="83" t="s">
        <v>216</v>
      </c>
      <c r="BF110" s="112">
        <f>4500/375</f>
        <v>12</v>
      </c>
      <c r="BG110" s="405"/>
      <c r="BI110" s="444"/>
      <c r="BJ110" s="445"/>
      <c r="BK110" s="446" t="s">
        <v>217</v>
      </c>
      <c r="BL110" s="106"/>
      <c r="BM110" s="106"/>
      <c r="BN110" s="441"/>
    </row>
    <row r="111" spans="49:66" ht="15.75">
      <c r="AW111" s="83" t="s">
        <v>218</v>
      </c>
      <c r="AZ111" s="61"/>
      <c r="BA111" s="3"/>
      <c r="BC111" s="3"/>
      <c r="BD111" s="79" t="s">
        <v>219</v>
      </c>
      <c r="BI111" s="102" t="s">
        <v>37</v>
      </c>
      <c r="BJ111" s="114">
        <f aca="true" t="shared" si="11" ref="BJ111:BJ118">SUM(BK111:BN111)</f>
        <v>49</v>
      </c>
      <c r="BK111" s="59">
        <v>9</v>
      </c>
      <c r="BL111" s="59">
        <v>14</v>
      </c>
      <c r="BM111" s="59">
        <v>13</v>
      </c>
      <c r="BN111" s="156">
        <v>13</v>
      </c>
    </row>
    <row r="112" spans="49:66" ht="16.5" thickBot="1">
      <c r="AW112" s="3"/>
      <c r="AZ112" s="61"/>
      <c r="BA112" s="3"/>
      <c r="BC112" s="3"/>
      <c r="BD112" s="83" t="s">
        <v>220</v>
      </c>
      <c r="BE112" s="447"/>
      <c r="BF112" s="112">
        <f>9800/375</f>
        <v>26.133333333333333</v>
      </c>
      <c r="BI112" s="102" t="s">
        <v>189</v>
      </c>
      <c r="BJ112" s="114">
        <f t="shared" si="11"/>
        <v>47</v>
      </c>
      <c r="BK112" s="59">
        <v>10</v>
      </c>
      <c r="BL112" s="59">
        <v>9</v>
      </c>
      <c r="BM112" s="59">
        <v>15</v>
      </c>
      <c r="BN112" s="156">
        <v>13</v>
      </c>
    </row>
    <row r="113" spans="49:66" ht="16.5" thickBot="1">
      <c r="AW113" s="106" t="s">
        <v>64</v>
      </c>
      <c r="AX113" s="106"/>
      <c r="AY113" s="116" t="s">
        <v>65</v>
      </c>
      <c r="AZ113" s="110"/>
      <c r="BA113" s="116" t="s">
        <v>3</v>
      </c>
      <c r="BB113" s="106"/>
      <c r="BC113" s="106"/>
      <c r="BD113" s="3" t="s">
        <v>66</v>
      </c>
      <c r="BI113" s="102" t="s">
        <v>38</v>
      </c>
      <c r="BJ113" s="114">
        <f t="shared" si="11"/>
        <v>47</v>
      </c>
      <c r="BK113" s="59">
        <v>11</v>
      </c>
      <c r="BL113" s="59">
        <v>13</v>
      </c>
      <c r="BM113" s="59">
        <v>13</v>
      </c>
      <c r="BN113" s="156">
        <v>10</v>
      </c>
    </row>
    <row r="114" spans="49:66" ht="15.75">
      <c r="AW114" s="3"/>
      <c r="AY114" s="117"/>
      <c r="AZ114" s="61"/>
      <c r="BA114" s="117"/>
      <c r="BC114" s="3"/>
      <c r="BD114" s="83" t="s">
        <v>67</v>
      </c>
      <c r="BF114" s="112">
        <f>23200/375</f>
        <v>61.86666666666667</v>
      </c>
      <c r="BI114" s="102" t="s">
        <v>39</v>
      </c>
      <c r="BJ114" s="114">
        <f t="shared" si="11"/>
        <v>42</v>
      </c>
      <c r="BK114" s="59">
        <v>10</v>
      </c>
      <c r="BL114" s="59">
        <v>11</v>
      </c>
      <c r="BM114" s="59">
        <v>10</v>
      </c>
      <c r="BN114" s="156">
        <v>11</v>
      </c>
    </row>
    <row r="115" spans="49:66" ht="15.75">
      <c r="AW115" s="3" t="s">
        <v>182</v>
      </c>
      <c r="AX115" s="170">
        <f>9100/224</f>
        <v>40.625</v>
      </c>
      <c r="AY115" s="119" t="s">
        <v>182</v>
      </c>
      <c r="AZ115" s="170">
        <f>4200/224</f>
        <v>18.75</v>
      </c>
      <c r="BA115" s="120" t="s">
        <v>63</v>
      </c>
      <c r="BD115" s="3" t="s">
        <v>68</v>
      </c>
      <c r="BE115" s="3"/>
      <c r="BI115" s="102" t="s">
        <v>42</v>
      </c>
      <c r="BJ115" s="114">
        <f t="shared" si="11"/>
        <v>37</v>
      </c>
      <c r="BK115" s="59">
        <v>8</v>
      </c>
      <c r="BL115" s="59">
        <v>8</v>
      </c>
      <c r="BM115" s="59">
        <v>11</v>
      </c>
      <c r="BN115" s="156">
        <v>10</v>
      </c>
    </row>
    <row r="116" spans="49:66" ht="15.75">
      <c r="AW116" s="3" t="s">
        <v>69</v>
      </c>
      <c r="AX116" s="84">
        <v>41.52</v>
      </c>
      <c r="AY116" s="119" t="s">
        <v>70</v>
      </c>
      <c r="AZ116" s="84">
        <v>28.57</v>
      </c>
      <c r="BA116" s="121">
        <f>4200/112</f>
        <v>37.5</v>
      </c>
      <c r="BC116" s="3"/>
      <c r="BE116" s="3"/>
      <c r="BI116" s="102" t="s">
        <v>46</v>
      </c>
      <c r="BJ116" s="114">
        <f t="shared" si="11"/>
        <v>37</v>
      </c>
      <c r="BK116" s="59">
        <v>14</v>
      </c>
      <c r="BL116" s="59">
        <v>11</v>
      </c>
      <c r="BM116" s="59">
        <v>7</v>
      </c>
      <c r="BN116" s="156">
        <v>5</v>
      </c>
    </row>
    <row r="117" spans="49:66" ht="15.75">
      <c r="AW117" s="3" t="s">
        <v>71</v>
      </c>
      <c r="AX117" s="84">
        <v>35.71</v>
      </c>
      <c r="AY117" s="119" t="s">
        <v>72</v>
      </c>
      <c r="AZ117" s="84" t="s">
        <v>73</v>
      </c>
      <c r="BA117" s="122" t="s">
        <v>183</v>
      </c>
      <c r="BI117" s="102" t="s">
        <v>40</v>
      </c>
      <c r="BJ117" s="114">
        <f t="shared" si="11"/>
        <v>31</v>
      </c>
      <c r="BK117" s="59">
        <v>9</v>
      </c>
      <c r="BL117" s="59">
        <v>9</v>
      </c>
      <c r="BM117" s="59">
        <v>3</v>
      </c>
      <c r="BN117" s="156">
        <v>10</v>
      </c>
    </row>
    <row r="118" spans="49:66" ht="16.5" thickBot="1">
      <c r="AW118" s="3"/>
      <c r="AZ118" s="61"/>
      <c r="BA118" s="120" t="s">
        <v>62</v>
      </c>
      <c r="BE118" s="3"/>
      <c r="BI118" s="103" t="s">
        <v>36</v>
      </c>
      <c r="BJ118" s="123">
        <f t="shared" si="11"/>
        <v>25</v>
      </c>
      <c r="BK118" s="124">
        <v>8</v>
      </c>
      <c r="BL118" s="124">
        <v>3</v>
      </c>
      <c r="BM118" s="124">
        <v>9</v>
      </c>
      <c r="BN118" s="157">
        <v>5</v>
      </c>
    </row>
    <row r="119" spans="49:66" ht="15.75">
      <c r="AW119" s="3"/>
      <c r="AZ119" s="61"/>
      <c r="BA119" s="121">
        <f>4900/112</f>
        <v>43.75</v>
      </c>
      <c r="BD119" s="61"/>
      <c r="BE119" s="3"/>
      <c r="BF119" s="61"/>
      <c r="BG119" s="3"/>
      <c r="BH119" s="61"/>
      <c r="BI119" s="3"/>
      <c r="BJ119" s="167"/>
      <c r="BK119" s="3"/>
      <c r="BL119" s="61"/>
      <c r="BM119" s="3"/>
      <c r="BN119" s="61"/>
    </row>
    <row r="120" spans="49:66" ht="15.75">
      <c r="AW120" s="3"/>
      <c r="AZ120" s="61"/>
      <c r="BA120" s="122" t="s">
        <v>184</v>
      </c>
      <c r="BC120" s="3"/>
      <c r="BE120" s="3"/>
      <c r="BF120" s="61"/>
      <c r="BG120" s="3"/>
      <c r="BH120" s="61"/>
      <c r="BI120" s="3"/>
      <c r="BJ120" s="61"/>
      <c r="BK120" s="3"/>
      <c r="BL120" s="61"/>
      <c r="BM120" s="3"/>
      <c r="BN120" s="61"/>
    </row>
    <row r="121" spans="49:66" ht="15.75">
      <c r="AW121" s="3"/>
      <c r="AZ121" s="61"/>
      <c r="BA121" s="56"/>
      <c r="BC121" s="3"/>
      <c r="BE121" s="3"/>
      <c r="BF121" s="61"/>
      <c r="BG121" s="3"/>
      <c r="BH121" s="61"/>
      <c r="BI121" s="3"/>
      <c r="BJ121" s="61"/>
      <c r="BK121" s="3"/>
      <c r="BL121" s="61"/>
      <c r="BM121" s="3"/>
      <c r="BN121" s="61"/>
    </row>
    <row r="122" spans="49:66" ht="15.75">
      <c r="AW122" s="125"/>
      <c r="BA122" s="3"/>
      <c r="BC122" s="3"/>
      <c r="BD122" s="61"/>
      <c r="BE122" s="3"/>
      <c r="BF122" s="61"/>
      <c r="BG122" s="3"/>
      <c r="BH122" s="61"/>
      <c r="BI122" s="3"/>
      <c r="BJ122" s="61"/>
      <c r="BK122" s="3"/>
      <c r="BL122" s="61"/>
      <c r="BM122" s="3"/>
      <c r="BN122" s="61"/>
    </row>
    <row r="123" spans="49:66" ht="15.75">
      <c r="AW123" s="56"/>
      <c r="AX123" s="56"/>
      <c r="AY123" s="56"/>
      <c r="AZ123" s="56"/>
      <c r="BA123" s="56"/>
      <c r="BB123" s="56"/>
      <c r="BC123" s="3"/>
      <c r="BE123" s="3"/>
      <c r="BF123" s="61"/>
      <c r="BG123" s="3"/>
      <c r="BH123" s="61"/>
      <c r="BI123" s="3"/>
      <c r="BJ123" s="61"/>
      <c r="BK123" s="3"/>
      <c r="BL123" s="61"/>
      <c r="BM123" s="3"/>
      <c r="BN123" s="61"/>
    </row>
    <row r="124" spans="49:66" ht="15.75">
      <c r="AW124" s="56"/>
      <c r="AX124" s="126"/>
      <c r="AY124" s="56"/>
      <c r="AZ124" s="126"/>
      <c r="BA124" s="56"/>
      <c r="BB124" s="126"/>
      <c r="BC124" s="3"/>
      <c r="BE124" s="3"/>
      <c r="BF124" s="61"/>
      <c r="BG124" s="3"/>
      <c r="BH124" s="61"/>
      <c r="BI124" s="3"/>
      <c r="BJ124" s="61"/>
      <c r="BK124" s="3"/>
      <c r="BL124" s="61"/>
      <c r="BM124" s="3"/>
      <c r="BN124" s="61"/>
    </row>
    <row r="125" spans="49:66" ht="15.75">
      <c r="AW125" s="56"/>
      <c r="AX125" s="126"/>
      <c r="AY125" s="56"/>
      <c r="AZ125" s="126"/>
      <c r="BA125" s="56"/>
      <c r="BB125" s="126"/>
      <c r="BC125" s="3"/>
      <c r="BE125" s="3"/>
      <c r="BF125" s="61"/>
      <c r="BG125" s="3"/>
      <c r="BH125" s="61"/>
      <c r="BI125" s="3"/>
      <c r="BJ125" s="61"/>
      <c r="BK125" s="3"/>
      <c r="BL125" s="61"/>
      <c r="BM125" s="3"/>
      <c r="BN125" s="61"/>
    </row>
    <row r="126" spans="49:66" ht="15.75">
      <c r="AW126" s="56"/>
      <c r="AX126" s="126"/>
      <c r="AY126" s="56"/>
      <c r="AZ126" s="126"/>
      <c r="BA126" s="56"/>
      <c r="BB126" s="126"/>
      <c r="BC126" s="3"/>
      <c r="BD126" s="118"/>
      <c r="BE126" s="3"/>
      <c r="BF126" s="61"/>
      <c r="BG126" s="3"/>
      <c r="BH126" s="61"/>
      <c r="BI126" s="3"/>
      <c r="BJ126" s="61"/>
      <c r="BK126" s="3"/>
      <c r="BL126" s="61"/>
      <c r="BM126" s="3"/>
      <c r="BN126" s="61"/>
    </row>
    <row r="127" spans="49:66" ht="15.75">
      <c r="AW127" s="56"/>
      <c r="AX127" s="126"/>
      <c r="AY127" s="56"/>
      <c r="AZ127" s="126"/>
      <c r="BA127" s="56"/>
      <c r="BB127" s="126"/>
      <c r="BC127" s="3"/>
      <c r="BE127" s="3"/>
      <c r="BF127" s="61"/>
      <c r="BG127" s="3"/>
      <c r="BH127" s="61"/>
      <c r="BI127" s="3"/>
      <c r="BJ127" s="61"/>
      <c r="BK127" s="3"/>
      <c r="BL127" s="61"/>
      <c r="BM127" s="3"/>
      <c r="BN127" s="61"/>
    </row>
    <row r="128" spans="49:66" ht="15.75">
      <c r="AW128" s="56"/>
      <c r="AX128" s="126"/>
      <c r="AY128" s="56"/>
      <c r="AZ128" s="126"/>
      <c r="BA128" s="56"/>
      <c r="BB128" s="126"/>
      <c r="BC128" s="3"/>
      <c r="BD128" s="118"/>
      <c r="BE128" s="3"/>
      <c r="BF128" s="61"/>
      <c r="BG128" s="3"/>
      <c r="BH128" s="61"/>
      <c r="BI128" s="3"/>
      <c r="BJ128" s="61"/>
      <c r="BK128" s="3"/>
      <c r="BL128" s="61"/>
      <c r="BM128" s="3"/>
      <c r="BN128" s="61"/>
    </row>
    <row r="129" spans="49:65" ht="15.75">
      <c r="AW129" s="56"/>
      <c r="AX129" s="126"/>
      <c r="AY129" s="56"/>
      <c r="AZ129" s="126"/>
      <c r="BA129" s="56"/>
      <c r="BB129" s="126"/>
      <c r="BC129" s="3"/>
      <c r="BE129" s="3"/>
      <c r="BF129" s="61"/>
      <c r="BG129" s="3"/>
      <c r="BH129" s="61"/>
      <c r="BJ129" s="61"/>
      <c r="BK129" s="3"/>
      <c r="BL129" s="61"/>
      <c r="BM129" s="3"/>
    </row>
    <row r="130" spans="49:65" ht="15.75">
      <c r="AW130" s="56"/>
      <c r="AX130" s="126"/>
      <c r="AY130" s="56"/>
      <c r="AZ130" s="126"/>
      <c r="BA130" s="56"/>
      <c r="BB130" s="126"/>
      <c r="BC130" s="3"/>
      <c r="BD130" s="61"/>
      <c r="BE130" s="3"/>
      <c r="BF130" s="61"/>
      <c r="BG130" s="3"/>
      <c r="BH130" s="61"/>
      <c r="BI130" s="3"/>
      <c r="BK130" s="3"/>
      <c r="BM130" s="3"/>
    </row>
    <row r="131" spans="49:65" ht="16.5" thickBot="1">
      <c r="AW131" s="3"/>
      <c r="AZ131" s="61"/>
      <c r="BA131" s="3"/>
      <c r="BC131" s="3"/>
      <c r="BD131" s="61"/>
      <c r="BE131" s="3"/>
      <c r="BF131" s="61"/>
      <c r="BG131" s="3"/>
      <c r="BH131" s="61"/>
      <c r="BI131" s="3"/>
      <c r="BK131" s="3"/>
      <c r="BM131" s="3"/>
    </row>
    <row r="132" spans="49:66" ht="16.5" thickBot="1">
      <c r="AW132" s="3"/>
      <c r="BA132" s="3"/>
      <c r="BC132" s="3"/>
      <c r="BD132" s="155" t="s">
        <v>74</v>
      </c>
      <c r="BE132" s="127"/>
      <c r="BG132" s="3"/>
      <c r="BH132" s="61"/>
      <c r="BI132" s="3"/>
      <c r="BJ132" s="61"/>
      <c r="BK132" s="3"/>
      <c r="BM132" s="3"/>
      <c r="BN132" s="61"/>
    </row>
    <row r="133" spans="49:65" ht="16.5" thickBot="1">
      <c r="AW133" s="3"/>
      <c r="AZ133" s="61"/>
      <c r="BA133" s="3"/>
      <c r="BC133" s="3"/>
      <c r="BD133" s="172" t="s">
        <v>84</v>
      </c>
      <c r="BE133" s="109"/>
      <c r="BF133" s="109"/>
      <c r="BG133" s="173" t="s">
        <v>131</v>
      </c>
      <c r="BH133" s="57"/>
      <c r="BI133" s="178">
        <v>142</v>
      </c>
      <c r="BJ133" s="172" t="s">
        <v>147</v>
      </c>
      <c r="BK133" s="109"/>
      <c r="BL133" s="109"/>
      <c r="BM133" s="3"/>
    </row>
    <row r="134" spans="49:66" ht="16.5" thickBot="1">
      <c r="AW134" s="128" t="s">
        <v>75</v>
      </c>
      <c r="AX134" s="127"/>
      <c r="AZ134" s="61"/>
      <c r="BA134" s="3"/>
      <c r="BC134" s="3"/>
      <c r="BD134" s="173" t="s">
        <v>85</v>
      </c>
      <c r="BE134" s="57"/>
      <c r="BF134" s="57">
        <v>290</v>
      </c>
      <c r="BG134" s="119" t="s">
        <v>157</v>
      </c>
      <c r="BH134" s="57"/>
      <c r="BI134" s="178">
        <v>141</v>
      </c>
      <c r="BJ134" s="119" t="s">
        <v>87</v>
      </c>
      <c r="BK134" s="3"/>
      <c r="BL134" s="57">
        <v>149</v>
      </c>
      <c r="BM134" s="109"/>
      <c r="BN134" s="61"/>
    </row>
    <row r="135" spans="49:66" ht="15.75">
      <c r="AW135" s="129" t="s">
        <v>167</v>
      </c>
      <c r="AZ135" s="61"/>
      <c r="BA135" s="3"/>
      <c r="BC135" s="56"/>
      <c r="BD135" s="173" t="s">
        <v>86</v>
      </c>
      <c r="BE135" s="57"/>
      <c r="BF135" s="57">
        <v>274</v>
      </c>
      <c r="BG135" s="173" t="s">
        <v>125</v>
      </c>
      <c r="BH135" s="57"/>
      <c r="BI135" s="178">
        <v>140</v>
      </c>
      <c r="BJ135" s="119" t="s">
        <v>88</v>
      </c>
      <c r="BK135" s="3"/>
      <c r="BL135" s="57">
        <v>148</v>
      </c>
      <c r="BM135" s="109"/>
      <c r="BN135" s="61"/>
    </row>
    <row r="136" spans="49:65" ht="15.75">
      <c r="AW136" s="129" t="s">
        <v>168</v>
      </c>
      <c r="AZ136" s="61"/>
      <c r="BA136" s="3"/>
      <c r="BC136" s="56"/>
      <c r="BD136" s="173" t="s">
        <v>87</v>
      </c>
      <c r="BE136" s="57"/>
      <c r="BF136" s="57">
        <v>249</v>
      </c>
      <c r="BG136" s="173" t="s">
        <v>115</v>
      </c>
      <c r="BH136" s="57"/>
      <c r="BI136" s="178">
        <v>139</v>
      </c>
      <c r="BJ136" s="160" t="s">
        <v>97</v>
      </c>
      <c r="BK136" s="3"/>
      <c r="BL136" s="57">
        <v>111</v>
      </c>
      <c r="BM136" s="109"/>
    </row>
    <row r="137" spans="49:66" ht="15.75">
      <c r="AW137" s="129" t="s">
        <v>169</v>
      </c>
      <c r="AZ137" s="61"/>
      <c r="BA137" s="3"/>
      <c r="BC137" s="56"/>
      <c r="BD137" s="173" t="s">
        <v>88</v>
      </c>
      <c r="BE137" s="57"/>
      <c r="BF137" s="57">
        <v>254</v>
      </c>
      <c r="BG137" s="173" t="s">
        <v>116</v>
      </c>
      <c r="BH137" s="57"/>
      <c r="BI137" s="178">
        <v>139</v>
      </c>
      <c r="BJ137" s="181"/>
      <c r="BK137" s="109"/>
      <c r="BL137" s="109"/>
      <c r="BM137" s="109"/>
      <c r="BN137" s="130"/>
    </row>
    <row r="138" spans="49:66" ht="15.75">
      <c r="AW138" s="129" t="s">
        <v>170</v>
      </c>
      <c r="AZ138" s="61"/>
      <c r="BA138" s="3"/>
      <c r="BC138" s="3"/>
      <c r="BD138" s="173" t="s">
        <v>89</v>
      </c>
      <c r="BE138" s="57"/>
      <c r="BF138" s="57">
        <v>238</v>
      </c>
      <c r="BG138" s="173" t="s">
        <v>129</v>
      </c>
      <c r="BH138" s="57"/>
      <c r="BI138" s="178">
        <v>138</v>
      </c>
      <c r="BJ138" s="172" t="s">
        <v>148</v>
      </c>
      <c r="BK138" s="113"/>
      <c r="BL138" s="113"/>
      <c r="BM138" s="113"/>
      <c r="BN138" s="131"/>
    </row>
    <row r="139" spans="49:70" ht="15.75">
      <c r="AW139" s="129" t="s">
        <v>76</v>
      </c>
      <c r="AX139" s="79" t="s">
        <v>152</v>
      </c>
      <c r="AZ139" s="61"/>
      <c r="BA139" s="3"/>
      <c r="BC139" s="56"/>
      <c r="BD139" s="173" t="s">
        <v>155</v>
      </c>
      <c r="BE139" s="57"/>
      <c r="BF139" s="57">
        <v>219</v>
      </c>
      <c r="BG139" s="173" t="s">
        <v>122</v>
      </c>
      <c r="BH139" s="57"/>
      <c r="BI139" s="178">
        <v>135</v>
      </c>
      <c r="BJ139" s="160"/>
      <c r="BK139" s="3"/>
      <c r="BL139" s="57"/>
      <c r="BM139" s="109"/>
      <c r="BN139" s="131"/>
      <c r="BQ139" s="171"/>
      <c r="BR139" s="109"/>
    </row>
    <row r="140" spans="49:67" ht="15.75">
      <c r="AW140" s="129"/>
      <c r="AX140" s="79" t="s">
        <v>153</v>
      </c>
      <c r="AZ140" s="61"/>
      <c r="BA140" s="3"/>
      <c r="BC140" s="56"/>
      <c r="BD140" s="173" t="s">
        <v>90</v>
      </c>
      <c r="BE140" s="57"/>
      <c r="BF140" s="57">
        <f>BE140+207</f>
        <v>207</v>
      </c>
      <c r="BG140" s="173" t="s">
        <v>118</v>
      </c>
      <c r="BH140" s="57"/>
      <c r="BI140" s="178">
        <v>134</v>
      </c>
      <c r="BJ140" s="3" t="s">
        <v>116</v>
      </c>
      <c r="BK140" s="3"/>
      <c r="BL140" s="57">
        <v>88</v>
      </c>
      <c r="BM140" s="109"/>
      <c r="BN140" s="131"/>
      <c r="BO140" s="3"/>
    </row>
    <row r="141" spans="49:66" ht="15.75">
      <c r="AW141" s="132" t="s">
        <v>77</v>
      </c>
      <c r="AX141" s="111"/>
      <c r="AZ141" s="61"/>
      <c r="BA141" s="3"/>
      <c r="BC141" s="56"/>
      <c r="BD141" s="176" t="s">
        <v>185</v>
      </c>
      <c r="BE141" s="3"/>
      <c r="BF141" s="57">
        <v>216</v>
      </c>
      <c r="BG141" s="173" t="s">
        <v>110</v>
      </c>
      <c r="BH141" s="57"/>
      <c r="BI141" s="178">
        <f>BH141+133</f>
        <v>133</v>
      </c>
      <c r="BJ141" s="136" t="s">
        <v>129</v>
      </c>
      <c r="BK141" s="3"/>
      <c r="BL141" s="57">
        <v>81</v>
      </c>
      <c r="BM141" s="109"/>
      <c r="BN141" s="131"/>
    </row>
    <row r="142" spans="49:66" ht="15.75">
      <c r="AW142" s="3" t="s">
        <v>163</v>
      </c>
      <c r="AZ142" s="61"/>
      <c r="BA142" s="3"/>
      <c r="BC142" s="56"/>
      <c r="BD142" s="173" t="s">
        <v>93</v>
      </c>
      <c r="BE142" s="3"/>
      <c r="BF142" s="57">
        <v>214</v>
      </c>
      <c r="BG142" s="175" t="s">
        <v>126</v>
      </c>
      <c r="BH142" s="57"/>
      <c r="BI142" s="178">
        <v>133</v>
      </c>
      <c r="BJ142" s="79" t="s">
        <v>109</v>
      </c>
      <c r="BK142" s="3"/>
      <c r="BL142" s="57">
        <v>90</v>
      </c>
      <c r="BM142" s="109"/>
      <c r="BN142" s="131"/>
    </row>
    <row r="143" spans="49:66" ht="15.75">
      <c r="AW143" s="184" t="s">
        <v>164</v>
      </c>
      <c r="AZ143" s="61"/>
      <c r="BA143" s="3"/>
      <c r="BC143" s="56"/>
      <c r="BD143" s="176" t="s">
        <v>95</v>
      </c>
      <c r="BE143" s="57"/>
      <c r="BF143" s="57">
        <v>201</v>
      </c>
      <c r="BG143" s="173" t="s">
        <v>113</v>
      </c>
      <c r="BH143" s="57"/>
      <c r="BI143" s="178">
        <f>BH143+132</f>
        <v>132</v>
      </c>
      <c r="BJ143" s="57" t="s">
        <v>105</v>
      </c>
      <c r="BK143" s="3"/>
      <c r="BL143" s="57">
        <v>85</v>
      </c>
      <c r="BM143" s="109"/>
      <c r="BN143" s="131"/>
    </row>
    <row r="144" spans="49:66" ht="15.75">
      <c r="AW144" s="3" t="s">
        <v>162</v>
      </c>
      <c r="AZ144" s="61"/>
      <c r="BA144" s="3"/>
      <c r="BC144" s="56"/>
      <c r="BD144" s="176" t="s">
        <v>98</v>
      </c>
      <c r="BE144" s="57"/>
      <c r="BF144" s="57">
        <v>200</v>
      </c>
      <c r="BG144" s="119" t="s">
        <v>158</v>
      </c>
      <c r="BH144" s="61"/>
      <c r="BI144" s="177">
        <v>129</v>
      </c>
      <c r="BJ144" s="166" t="s">
        <v>115</v>
      </c>
      <c r="BK144" s="3"/>
      <c r="BL144" s="57">
        <v>74</v>
      </c>
      <c r="BM144" s="109"/>
      <c r="BN144" s="131"/>
    </row>
    <row r="145" spans="49:66" ht="15.75">
      <c r="AW145" s="3"/>
      <c r="AZ145" s="61"/>
      <c r="BA145" s="3"/>
      <c r="BC145" s="56"/>
      <c r="BD145" s="100"/>
      <c r="BE145" s="3"/>
      <c r="BF145" s="61"/>
      <c r="BG145" s="175" t="s">
        <v>117</v>
      </c>
      <c r="BH145" s="57"/>
      <c r="BI145" s="178">
        <f>BH145+127</f>
        <v>127</v>
      </c>
      <c r="BJ145" s="136" t="s">
        <v>117</v>
      </c>
      <c r="BK145" s="3"/>
      <c r="BL145" s="57">
        <f>BK145+72</f>
        <v>72</v>
      </c>
      <c r="BM145" s="158"/>
      <c r="BN145" s="131"/>
    </row>
    <row r="146" spans="49:66" ht="15.75">
      <c r="AW146" s="132" t="s">
        <v>78</v>
      </c>
      <c r="AX146" s="133"/>
      <c r="AZ146" s="61"/>
      <c r="BA146" s="3"/>
      <c r="BB146" s="126"/>
      <c r="BC146" s="56"/>
      <c r="BD146" s="172" t="s">
        <v>92</v>
      </c>
      <c r="BE146" s="153"/>
      <c r="BF146" s="109"/>
      <c r="BG146" s="175" t="s">
        <v>119</v>
      </c>
      <c r="BH146" s="57"/>
      <c r="BI146" s="178">
        <f>BH146+127</f>
        <v>127</v>
      </c>
      <c r="BJ146" s="79" t="s">
        <v>102</v>
      </c>
      <c r="BK146" s="3"/>
      <c r="BL146" s="57">
        <v>78</v>
      </c>
      <c r="BM146" s="109"/>
      <c r="BN146" s="131"/>
    </row>
    <row r="147" spans="49:66" ht="15.75">
      <c r="AW147" s="79" t="s">
        <v>161</v>
      </c>
      <c r="AX147" s="126"/>
      <c r="AY147" s="56"/>
      <c r="AZ147" s="126"/>
      <c r="BA147" s="56"/>
      <c r="BB147" s="126"/>
      <c r="BC147" s="56"/>
      <c r="BD147" s="173" t="s">
        <v>100</v>
      </c>
      <c r="BE147" s="57"/>
      <c r="BF147" s="57">
        <v>197</v>
      </c>
      <c r="BG147" s="119" t="s">
        <v>149</v>
      </c>
      <c r="BH147" s="61"/>
      <c r="BI147" s="177">
        <v>127</v>
      </c>
      <c r="BJ147" s="3" t="s">
        <v>149</v>
      </c>
      <c r="BK147" s="3"/>
      <c r="BL147" s="57">
        <v>91</v>
      </c>
      <c r="BM147" s="109"/>
      <c r="BN147" s="131"/>
    </row>
    <row r="148" spans="49:66" ht="15.75">
      <c r="AW148" s="79"/>
      <c r="AX148" s="126"/>
      <c r="AY148" s="56"/>
      <c r="AZ148" s="126"/>
      <c r="BA148" s="56"/>
      <c r="BB148" s="126"/>
      <c r="BC148" s="56"/>
      <c r="BD148" s="173" t="s">
        <v>156</v>
      </c>
      <c r="BE148" s="57"/>
      <c r="BF148" s="57">
        <v>194</v>
      </c>
      <c r="BG148" s="173" t="s">
        <v>121</v>
      </c>
      <c r="BH148" s="57"/>
      <c r="BI148" s="178">
        <f>BH148+125</f>
        <v>125</v>
      </c>
      <c r="BJ148" s="136" t="s">
        <v>128</v>
      </c>
      <c r="BK148" s="3"/>
      <c r="BL148" s="57">
        <f>BK148+56</f>
        <v>56</v>
      </c>
      <c r="BM148" s="158"/>
      <c r="BN148" s="135"/>
    </row>
    <row r="149" spans="49:66" ht="15.75">
      <c r="AW149" s="132" t="s">
        <v>79</v>
      </c>
      <c r="AX149" s="134"/>
      <c r="AY149" s="126"/>
      <c r="AZ149" s="126"/>
      <c r="BA149" s="56"/>
      <c r="BC149" s="56"/>
      <c r="BD149" s="173" t="s">
        <v>106</v>
      </c>
      <c r="BE149" s="57"/>
      <c r="BF149" s="57">
        <v>189</v>
      </c>
      <c r="BG149" s="185" t="s">
        <v>150</v>
      </c>
      <c r="BH149" s="61"/>
      <c r="BI149" s="177">
        <v>125</v>
      </c>
      <c r="BJ149" s="179" t="s">
        <v>96</v>
      </c>
      <c r="BK149" s="3"/>
      <c r="BL149" s="57">
        <f>BK149+55</f>
        <v>55</v>
      </c>
      <c r="BM149" s="109"/>
      <c r="BN149" s="59"/>
    </row>
    <row r="150" spans="49:66" ht="15.75">
      <c r="AW150" s="79" t="s">
        <v>172</v>
      </c>
      <c r="BA150" s="3"/>
      <c r="BC150" s="3"/>
      <c r="BD150" s="173" t="s">
        <v>102</v>
      </c>
      <c r="BE150" s="57"/>
      <c r="BF150" s="57">
        <v>182</v>
      </c>
      <c r="BG150" s="173" t="s">
        <v>124</v>
      </c>
      <c r="BH150" s="57"/>
      <c r="BI150" s="178">
        <f>BH150+123</f>
        <v>123</v>
      </c>
      <c r="BJ150" s="3" t="s">
        <v>150</v>
      </c>
      <c r="BK150" s="3"/>
      <c r="BL150" s="57">
        <v>50</v>
      </c>
      <c r="BM150" s="109"/>
      <c r="BN150" s="61"/>
    </row>
    <row r="151" spans="49:66" ht="15.75">
      <c r="AW151" s="3" t="s">
        <v>173</v>
      </c>
      <c r="AZ151" s="61"/>
      <c r="BA151" s="3"/>
      <c r="BC151" s="3"/>
      <c r="BD151" s="173" t="s">
        <v>112</v>
      </c>
      <c r="BE151" s="57"/>
      <c r="BF151" s="57">
        <v>179</v>
      </c>
      <c r="BG151" s="175" t="s">
        <v>127</v>
      </c>
      <c r="BH151" s="57"/>
      <c r="BI151" s="178">
        <v>120</v>
      </c>
      <c r="BJ151" s="119" t="s">
        <v>112</v>
      </c>
      <c r="BK151" s="3"/>
      <c r="BL151" s="57">
        <v>71</v>
      </c>
      <c r="BM151" s="109"/>
      <c r="BN151" s="61"/>
    </row>
    <row r="152" spans="49:66" ht="15.75">
      <c r="AW152" s="79" t="s">
        <v>171</v>
      </c>
      <c r="AZ152" s="61"/>
      <c r="BA152" s="3"/>
      <c r="BC152" s="3"/>
      <c r="BD152" s="173" t="s">
        <v>99</v>
      </c>
      <c r="BE152" s="57"/>
      <c r="BF152" s="57">
        <v>178</v>
      </c>
      <c r="BG152" s="175" t="s">
        <v>128</v>
      </c>
      <c r="BH152" s="57"/>
      <c r="BI152" s="178">
        <f>BH152+118</f>
        <v>118</v>
      </c>
      <c r="BJ152" s="119" t="s">
        <v>160</v>
      </c>
      <c r="BK152" s="3"/>
      <c r="BL152" s="57">
        <v>55</v>
      </c>
      <c r="BM152" s="113"/>
      <c r="BN152" s="61"/>
    </row>
    <row r="153" spans="49:66" ht="15.75">
      <c r="AW153" s="3" t="s">
        <v>174</v>
      </c>
      <c r="AZ153" s="61"/>
      <c r="BA153" s="3"/>
      <c r="BC153" s="3"/>
      <c r="BD153" s="173" t="s">
        <v>94</v>
      </c>
      <c r="BE153" s="57"/>
      <c r="BF153" s="57">
        <f>BE153+171</f>
        <v>171</v>
      </c>
      <c r="BG153" s="175" t="s">
        <v>130</v>
      </c>
      <c r="BH153" s="57"/>
      <c r="BI153" s="178">
        <f>BH153+116</f>
        <v>116</v>
      </c>
      <c r="BJ153" s="119" t="s">
        <v>150</v>
      </c>
      <c r="BK153" s="3"/>
      <c r="BL153" s="57">
        <v>70</v>
      </c>
      <c r="BM153" s="109"/>
      <c r="BN153" s="61"/>
    </row>
    <row r="154" spans="49:66" ht="15.75">
      <c r="AW154" s="132" t="s">
        <v>80</v>
      </c>
      <c r="AX154" s="111"/>
      <c r="AZ154" s="61"/>
      <c r="BA154" s="3"/>
      <c r="BC154" s="3"/>
      <c r="BD154" s="173" t="s">
        <v>109</v>
      </c>
      <c r="BE154" s="57"/>
      <c r="BF154" s="57">
        <v>171</v>
      </c>
      <c r="BG154" s="173" t="s">
        <v>132</v>
      </c>
      <c r="BH154" s="57"/>
      <c r="BI154" s="178">
        <f>BH154+115</f>
        <v>115</v>
      </c>
      <c r="BJ154" s="115"/>
      <c r="BK154" s="153"/>
      <c r="BL154" s="109"/>
      <c r="BM154" s="109"/>
      <c r="BN154" s="61"/>
    </row>
    <row r="155" spans="49:66" ht="15.75">
      <c r="AW155" s="3" t="s">
        <v>81</v>
      </c>
      <c r="AX155" s="79" t="s">
        <v>166</v>
      </c>
      <c r="AZ155" s="61"/>
      <c r="BA155" s="3"/>
      <c r="BC155" s="3"/>
      <c r="BD155" s="173" t="s">
        <v>105</v>
      </c>
      <c r="BE155" s="57"/>
      <c r="BF155" s="57">
        <v>170</v>
      </c>
      <c r="BG155" s="173" t="s">
        <v>133</v>
      </c>
      <c r="BH155" s="57"/>
      <c r="BI155" s="178">
        <f>BH155+115</f>
        <v>115</v>
      </c>
      <c r="BJ155" s="115"/>
      <c r="BK155" s="153"/>
      <c r="BL155" s="109"/>
      <c r="BM155" s="109"/>
      <c r="BN155" s="61"/>
    </row>
    <row r="156" spans="49:66" ht="15.75">
      <c r="AW156" s="3" t="s">
        <v>82</v>
      </c>
      <c r="AX156" s="3" t="s">
        <v>83</v>
      </c>
      <c r="AZ156" s="61"/>
      <c r="BA156" s="3"/>
      <c r="BC156" s="3"/>
      <c r="BD156" s="173" t="s">
        <v>96</v>
      </c>
      <c r="BE156" s="57"/>
      <c r="BF156" s="57">
        <f>BE156+169</f>
        <v>169</v>
      </c>
      <c r="BG156" s="175" t="s">
        <v>134</v>
      </c>
      <c r="BH156" s="57"/>
      <c r="BI156" s="178">
        <f>BH156+114</f>
        <v>114</v>
      </c>
      <c r="BJ156" s="115"/>
      <c r="BK156" s="153"/>
      <c r="BL156" s="109"/>
      <c r="BM156" s="109"/>
      <c r="BN156" s="61"/>
    </row>
    <row r="157" spans="49:66" ht="15.75">
      <c r="AW157" s="3" t="s">
        <v>44</v>
      </c>
      <c r="AX157" s="168" t="s">
        <v>151</v>
      </c>
      <c r="AZ157" s="61"/>
      <c r="BA157" s="3"/>
      <c r="BC157" s="3"/>
      <c r="BD157" s="176" t="s">
        <v>135</v>
      </c>
      <c r="BE157" s="57"/>
      <c r="BF157" s="57">
        <v>169</v>
      </c>
      <c r="BG157" s="185" t="s">
        <v>186</v>
      </c>
      <c r="BH157" s="61"/>
      <c r="BI157" s="177">
        <v>114</v>
      </c>
      <c r="BJ157" s="174"/>
      <c r="BK157" s="153"/>
      <c r="BL157" s="109"/>
      <c r="BM157" s="109"/>
      <c r="BN157" s="61"/>
    </row>
    <row r="158" spans="49:66" ht="15.75">
      <c r="AW158" s="3"/>
      <c r="AX158" s="183" t="s">
        <v>165</v>
      </c>
      <c r="AZ158" s="61"/>
      <c r="BA158" s="3"/>
      <c r="BC158" s="3"/>
      <c r="BD158" s="176" t="s">
        <v>127</v>
      </c>
      <c r="BE158" s="57"/>
      <c r="BF158" s="57">
        <v>166</v>
      </c>
      <c r="BG158" s="185" t="s">
        <v>187</v>
      </c>
      <c r="BH158" s="61"/>
      <c r="BI158" s="177">
        <v>114</v>
      </c>
      <c r="BJ158" s="115"/>
      <c r="BK158" s="109"/>
      <c r="BL158" s="109"/>
      <c r="BM158" s="109"/>
      <c r="BN158" s="61"/>
    </row>
    <row r="159" spans="49:66" ht="15.75">
      <c r="AW159" s="3"/>
      <c r="AZ159" s="61"/>
      <c r="BA159" s="3"/>
      <c r="BC159" s="3"/>
      <c r="BD159" s="176" t="s">
        <v>123</v>
      </c>
      <c r="BE159" s="57"/>
      <c r="BF159" s="178">
        <v>163</v>
      </c>
      <c r="BG159" s="173" t="s">
        <v>136</v>
      </c>
      <c r="BH159" s="57"/>
      <c r="BI159" s="178">
        <v>111</v>
      </c>
      <c r="BJ159" s="154"/>
      <c r="BK159" s="109"/>
      <c r="BL159" s="109"/>
      <c r="BM159" s="109"/>
      <c r="BN159" s="61"/>
    </row>
    <row r="160" spans="49:66" ht="15.75">
      <c r="AW160" s="3"/>
      <c r="AZ160" s="61"/>
      <c r="BA160" s="3"/>
      <c r="BC160" s="3"/>
      <c r="BD160" s="176" t="s">
        <v>111</v>
      </c>
      <c r="BE160" s="57"/>
      <c r="BF160" s="57">
        <v>160</v>
      </c>
      <c r="BG160" s="173" t="s">
        <v>143</v>
      </c>
      <c r="BH160" s="57"/>
      <c r="BI160" s="178">
        <v>110</v>
      </c>
      <c r="BJ160" s="115"/>
      <c r="BK160" s="109"/>
      <c r="BL160" s="109"/>
      <c r="BM160" s="109"/>
      <c r="BN160" s="61"/>
    </row>
    <row r="161" spans="49:66" ht="15.75">
      <c r="AW161" s="3"/>
      <c r="AZ161" s="61"/>
      <c r="BA161" s="3"/>
      <c r="BC161" s="3"/>
      <c r="BD161" s="173" t="s">
        <v>108</v>
      </c>
      <c r="BE161" s="57"/>
      <c r="BF161" s="57">
        <v>156</v>
      </c>
      <c r="BG161" s="173" t="s">
        <v>138</v>
      </c>
      <c r="BH161" s="57"/>
      <c r="BI161" s="178">
        <f>BH161+108</f>
        <v>108</v>
      </c>
      <c r="BJ161" s="109"/>
      <c r="BK161" s="109"/>
      <c r="BL161" s="158"/>
      <c r="BM161" s="158"/>
      <c r="BN161" s="61"/>
    </row>
    <row r="162" spans="49:66" ht="15.75">
      <c r="AW162" s="3"/>
      <c r="AZ162" s="61"/>
      <c r="BA162" s="3"/>
      <c r="BC162" s="3"/>
      <c r="BD162" s="100"/>
      <c r="BE162" s="3"/>
      <c r="BF162" s="61"/>
      <c r="BG162" s="173" t="s">
        <v>146</v>
      </c>
      <c r="BH162" s="57"/>
      <c r="BI162" s="178">
        <v>108</v>
      </c>
      <c r="BJ162" s="131"/>
      <c r="BK162" s="79"/>
      <c r="BL162" s="131"/>
      <c r="BM162" s="131"/>
      <c r="BN162" s="61"/>
    </row>
    <row r="163" spans="49:66" ht="15.75">
      <c r="AW163" s="3"/>
      <c r="AZ163" s="61"/>
      <c r="BA163" s="3"/>
      <c r="BC163" s="3"/>
      <c r="BD163" s="172" t="s">
        <v>91</v>
      </c>
      <c r="BG163" s="119" t="s">
        <v>159</v>
      </c>
      <c r="BH163" s="61"/>
      <c r="BI163" s="177">
        <v>107</v>
      </c>
      <c r="BJ163" s="79"/>
      <c r="BK163" s="79"/>
      <c r="BL163" s="135"/>
      <c r="BM163" s="135"/>
      <c r="BN163" s="61"/>
    </row>
    <row r="164" spans="49:66" ht="15.75">
      <c r="AW164" s="3"/>
      <c r="AZ164" s="61"/>
      <c r="BA164" s="3"/>
      <c r="BC164" s="3"/>
      <c r="BD164" s="173" t="s">
        <v>101</v>
      </c>
      <c r="BE164" s="57"/>
      <c r="BF164" s="178">
        <f>BE164+147</f>
        <v>147</v>
      </c>
      <c r="BG164" s="173" t="s">
        <v>139</v>
      </c>
      <c r="BH164" s="57"/>
      <c r="BI164" s="178">
        <v>106</v>
      </c>
      <c r="BJ164" s="61"/>
      <c r="BK164" s="3"/>
      <c r="BL164" s="61"/>
      <c r="BM164" s="3"/>
      <c r="BN164" s="61"/>
    </row>
    <row r="165" spans="49:66" ht="15.75">
      <c r="AW165" s="3"/>
      <c r="AY165" s="4"/>
      <c r="BA165" s="3"/>
      <c r="BC165" s="3"/>
      <c r="BD165" s="173" t="s">
        <v>103</v>
      </c>
      <c r="BE165" s="57"/>
      <c r="BF165" s="178">
        <v>147</v>
      </c>
      <c r="BG165" s="185" t="s">
        <v>188</v>
      </c>
      <c r="BH165" s="61"/>
      <c r="BI165" s="177">
        <v>106</v>
      </c>
      <c r="BJ165" s="61"/>
      <c r="BK165" s="3"/>
      <c r="BL165" s="61"/>
      <c r="BM165" s="3"/>
      <c r="BN165" s="61"/>
    </row>
    <row r="166" spans="49:66" ht="15.75">
      <c r="AW166" s="3"/>
      <c r="AY166" s="4"/>
      <c r="BA166" s="3"/>
      <c r="BC166" s="3"/>
      <c r="BD166" s="173" t="s">
        <v>137</v>
      </c>
      <c r="BE166" s="57"/>
      <c r="BF166" s="178">
        <v>147</v>
      </c>
      <c r="BG166" s="57" t="s">
        <v>140</v>
      </c>
      <c r="BH166" s="57"/>
      <c r="BI166" s="178">
        <f>BH166+105</f>
        <v>105</v>
      </c>
      <c r="BJ166" s="61"/>
      <c r="BK166" s="3"/>
      <c r="BL166" s="61"/>
      <c r="BM166" s="3"/>
      <c r="BN166" s="61"/>
    </row>
    <row r="167" spans="49:66" ht="15.75">
      <c r="AW167" s="137"/>
      <c r="AX167" s="4"/>
      <c r="AY167" s="4"/>
      <c r="AZ167" s="4"/>
      <c r="BA167" s="4"/>
      <c r="BC167" s="4"/>
      <c r="BD167" s="173" t="s">
        <v>114</v>
      </c>
      <c r="BE167" s="57"/>
      <c r="BF167" s="178">
        <v>146</v>
      </c>
      <c r="BG167" s="175" t="s">
        <v>141</v>
      </c>
      <c r="BH167" s="57"/>
      <c r="BI167" s="178">
        <f>BH167+105</f>
        <v>105</v>
      </c>
      <c r="BJ167" s="61"/>
      <c r="BK167" s="3"/>
      <c r="BL167" s="61"/>
      <c r="BM167" s="3"/>
      <c r="BN167" s="61"/>
    </row>
    <row r="168" spans="49:66" ht="15.75">
      <c r="AW168" s="3"/>
      <c r="AY168" s="4"/>
      <c r="BA168" s="3"/>
      <c r="BC168" s="3"/>
      <c r="BD168" s="173" t="s">
        <v>104</v>
      </c>
      <c r="BE168" s="57"/>
      <c r="BF168" s="178">
        <f>BE168+144</f>
        <v>144</v>
      </c>
      <c r="BG168" s="173" t="s">
        <v>142</v>
      </c>
      <c r="BH168" s="57"/>
      <c r="BI168" s="178">
        <f>BH168+105</f>
        <v>105</v>
      </c>
      <c r="BJ168" s="61"/>
      <c r="BK168" s="3"/>
      <c r="BL168" s="61"/>
      <c r="BM168" s="3"/>
      <c r="BN168" s="61"/>
    </row>
    <row r="169" spans="49:66" ht="15.75">
      <c r="AW169" s="3"/>
      <c r="AY169" s="4"/>
      <c r="BA169" s="3"/>
      <c r="BC169" s="3"/>
      <c r="BD169" s="173" t="s">
        <v>120</v>
      </c>
      <c r="BE169" s="57"/>
      <c r="BF169" s="178">
        <v>144</v>
      </c>
      <c r="BG169" s="173" t="s">
        <v>144</v>
      </c>
      <c r="BH169" s="57"/>
      <c r="BI169" s="178">
        <f>BH169+101</f>
        <v>101</v>
      </c>
      <c r="BJ169" s="61"/>
      <c r="BK169" s="3"/>
      <c r="BL169" s="61"/>
      <c r="BM169" s="3"/>
      <c r="BN169" s="61"/>
    </row>
    <row r="170" spans="49:66" ht="15.75">
      <c r="AW170" s="3"/>
      <c r="AY170" s="4"/>
      <c r="BA170" s="3"/>
      <c r="BC170" s="3"/>
      <c r="BD170" s="173" t="s">
        <v>107</v>
      </c>
      <c r="BE170" s="57"/>
      <c r="BF170" s="178">
        <v>142</v>
      </c>
      <c r="BG170" s="173" t="s">
        <v>145</v>
      </c>
      <c r="BH170" s="57"/>
      <c r="BI170" s="178">
        <f>BH170+101</f>
        <v>101</v>
      </c>
      <c r="BJ170" s="61"/>
      <c r="BK170" s="3"/>
      <c r="BL170" s="61"/>
      <c r="BM170" s="3"/>
      <c r="BN170" s="61"/>
    </row>
    <row r="171" spans="49:66" ht="15.75">
      <c r="AW171" s="3"/>
      <c r="AY171" s="4"/>
      <c r="BA171" s="3"/>
      <c r="BC171" s="3"/>
      <c r="BD171" s="61"/>
      <c r="BE171" s="3"/>
      <c r="BF171" s="61"/>
      <c r="BG171" s="185" t="s">
        <v>160</v>
      </c>
      <c r="BH171" s="61"/>
      <c r="BI171" s="177">
        <v>100</v>
      </c>
      <c r="BJ171" s="61"/>
      <c r="BK171" s="3"/>
      <c r="BL171" s="61"/>
      <c r="BM171" s="3"/>
      <c r="BN171" s="61"/>
    </row>
    <row r="172" spans="49:66" ht="15.75">
      <c r="AW172" s="3"/>
      <c r="AY172" s="4"/>
      <c r="BA172" s="3"/>
      <c r="BC172" s="3"/>
      <c r="BD172" s="61"/>
      <c r="BE172" s="3"/>
      <c r="BF172" s="61"/>
      <c r="BG172" s="3"/>
      <c r="BH172" s="61"/>
      <c r="BI172" s="3"/>
      <c r="BJ172" s="61"/>
      <c r="BK172" s="3"/>
      <c r="BL172" s="61"/>
      <c r="BM172" s="3"/>
      <c r="BN172" s="61"/>
    </row>
    <row r="173" spans="49:66" ht="15.75">
      <c r="AW173" s="137"/>
      <c r="AX173" s="4"/>
      <c r="AY173" s="4"/>
      <c r="AZ173" s="4"/>
      <c r="BA173" s="4"/>
      <c r="BC173" s="4"/>
      <c r="BD173" s="61"/>
      <c r="BE173" s="3"/>
      <c r="BF173" s="61"/>
      <c r="BG173" s="3"/>
      <c r="BH173" s="61"/>
      <c r="BI173" s="3"/>
      <c r="BJ173" s="61"/>
      <c r="BK173" s="3"/>
      <c r="BL173" s="61"/>
      <c r="BM173" s="3"/>
      <c r="BN173" s="61"/>
    </row>
    <row r="174" spans="49:66" ht="15.75">
      <c r="AW174" s="137"/>
      <c r="AX174" s="4"/>
      <c r="AY174" s="4"/>
      <c r="AZ174" s="4"/>
      <c r="BA174" s="4"/>
      <c r="BC174" s="4"/>
      <c r="BD174" s="61"/>
      <c r="BE174" s="3"/>
      <c r="BF174" s="61"/>
      <c r="BG174" s="3"/>
      <c r="BH174" s="61"/>
      <c r="BI174" s="3"/>
      <c r="BJ174" s="61"/>
      <c r="BK174" s="3"/>
      <c r="BL174" s="61"/>
      <c r="BM174" s="3"/>
      <c r="BN174" s="61"/>
    </row>
    <row r="175" spans="49:66" ht="15.75">
      <c r="AW175" s="99"/>
      <c r="AY175" s="4"/>
      <c r="BA175" s="3"/>
      <c r="BC175" s="3"/>
      <c r="BD175" s="61"/>
      <c r="BE175" s="3"/>
      <c r="BF175" s="61"/>
      <c r="BG175" s="3"/>
      <c r="BH175" s="61"/>
      <c r="BI175" s="3"/>
      <c r="BJ175" s="61"/>
      <c r="BK175" s="3"/>
      <c r="BL175" s="61"/>
      <c r="BM175" s="3"/>
      <c r="BN175" s="61"/>
    </row>
    <row r="176" spans="49:66" ht="15.75">
      <c r="AW176" s="3"/>
      <c r="AY176" s="4"/>
      <c r="BA176" s="3"/>
      <c r="BC176" s="3"/>
      <c r="BD176" s="61"/>
      <c r="BE176" s="3"/>
      <c r="BF176" s="61"/>
      <c r="BG176" s="3"/>
      <c r="BH176" s="61"/>
      <c r="BI176" s="3"/>
      <c r="BJ176" s="61"/>
      <c r="BK176" s="3"/>
      <c r="BL176" s="61"/>
      <c r="BM176" s="3"/>
      <c r="BN176" s="61"/>
    </row>
    <row r="177" spans="49:66" ht="15.75">
      <c r="AW177" s="3"/>
      <c r="AY177" s="4"/>
      <c r="BA177" s="3"/>
      <c r="BC177" s="3"/>
      <c r="BD177" s="61"/>
      <c r="BE177" s="3"/>
      <c r="BF177" s="61"/>
      <c r="BG177" s="3"/>
      <c r="BH177" s="61"/>
      <c r="BI177" s="3"/>
      <c r="BJ177" s="61"/>
      <c r="BK177" s="3"/>
      <c r="BL177" s="61"/>
      <c r="BM177" s="3"/>
      <c r="BN177" s="61"/>
    </row>
    <row r="178" spans="49:66" ht="15.75">
      <c r="AW178" s="136"/>
      <c r="AY178" s="4"/>
      <c r="BA178" s="3"/>
      <c r="BC178" s="3"/>
      <c r="BD178" s="61"/>
      <c r="BE178" s="3"/>
      <c r="BF178" s="61"/>
      <c r="BG178" s="3"/>
      <c r="BH178" s="61"/>
      <c r="BI178" s="3"/>
      <c r="BJ178" s="61"/>
      <c r="BK178" s="3"/>
      <c r="BL178" s="61"/>
      <c r="BM178" s="3"/>
      <c r="BN178" s="61"/>
    </row>
    <row r="179" spans="49:66" ht="15.75">
      <c r="AW179" s="137"/>
      <c r="AX179" s="4"/>
      <c r="AY179" s="4"/>
      <c r="AZ179" s="4"/>
      <c r="BA179" s="4"/>
      <c r="BC179" s="4"/>
      <c r="BD179" s="61"/>
      <c r="BE179" s="3"/>
      <c r="BF179" s="61"/>
      <c r="BG179" s="3"/>
      <c r="BH179" s="61"/>
      <c r="BI179" s="3"/>
      <c r="BJ179" s="61"/>
      <c r="BK179" s="3"/>
      <c r="BL179" s="61"/>
      <c r="BM179" s="3"/>
      <c r="BN179" s="61"/>
    </row>
    <row r="180" spans="49:66" ht="15.75">
      <c r="AW180" s="3"/>
      <c r="AY180" s="4"/>
      <c r="BA180" s="3"/>
      <c r="BC180" s="3"/>
      <c r="BD180" s="61"/>
      <c r="BE180" s="3"/>
      <c r="BF180" s="61"/>
      <c r="BG180" s="3"/>
      <c r="BH180" s="61"/>
      <c r="BI180" s="3"/>
      <c r="BJ180" s="61"/>
      <c r="BK180" s="3"/>
      <c r="BL180" s="61"/>
      <c r="BM180" s="3"/>
      <c r="BN180" s="61"/>
    </row>
    <row r="181" spans="49:66" ht="15.75">
      <c r="AW181" s="3"/>
      <c r="AY181" s="4"/>
      <c r="BA181" s="3"/>
      <c r="BC181" s="3"/>
      <c r="BD181" s="61"/>
      <c r="BE181" s="3"/>
      <c r="BF181" s="61"/>
      <c r="BG181" s="3"/>
      <c r="BH181" s="61"/>
      <c r="BI181" s="3"/>
      <c r="BJ181" s="61"/>
      <c r="BK181" s="3"/>
      <c r="BL181" s="61"/>
      <c r="BM181" s="3"/>
      <c r="BN181" s="61"/>
    </row>
    <row r="182" spans="49:66" ht="15.75">
      <c r="AW182" s="3"/>
      <c r="AY182" s="4"/>
      <c r="BA182" s="3"/>
      <c r="BC182" s="3"/>
      <c r="BD182" s="61"/>
      <c r="BE182" s="3"/>
      <c r="BF182" s="61"/>
      <c r="BG182" s="3"/>
      <c r="BH182" s="61"/>
      <c r="BI182" s="3"/>
      <c r="BJ182" s="61"/>
      <c r="BK182" s="3"/>
      <c r="BL182" s="61"/>
      <c r="BM182" s="3"/>
      <c r="BN182" s="61"/>
    </row>
    <row r="183" spans="49:66" ht="15.75">
      <c r="AW183" s="3"/>
      <c r="AY183" s="4"/>
      <c r="BA183" s="3"/>
      <c r="BC183" s="3"/>
      <c r="BD183" s="61"/>
      <c r="BE183" s="3"/>
      <c r="BF183" s="61"/>
      <c r="BG183" s="3"/>
      <c r="BH183" s="61"/>
      <c r="BI183" s="3"/>
      <c r="BJ183" s="61"/>
      <c r="BK183" s="3"/>
      <c r="BL183" s="61"/>
      <c r="BM183" s="3"/>
      <c r="BN183" s="61"/>
    </row>
    <row r="184" spans="49:66" ht="15.75">
      <c r="AW184" s="3"/>
      <c r="AY184" s="4"/>
      <c r="BA184" s="3"/>
      <c r="BC184" s="3"/>
      <c r="BD184" s="61"/>
      <c r="BE184" s="3"/>
      <c r="BF184" s="61"/>
      <c r="BG184" s="3"/>
      <c r="BH184" s="61"/>
      <c r="BI184" s="3"/>
      <c r="BJ184" s="61"/>
      <c r="BK184" s="3"/>
      <c r="BL184" s="61"/>
      <c r="BM184" s="3"/>
      <c r="BN184" s="61"/>
    </row>
    <row r="185" spans="49:66" ht="15.75">
      <c r="AW185" s="3"/>
      <c r="AY185" s="4"/>
      <c r="BA185" s="3"/>
      <c r="BC185" s="3"/>
      <c r="BD185" s="61"/>
      <c r="BE185" s="3"/>
      <c r="BF185" s="61"/>
      <c r="BG185" s="3"/>
      <c r="BH185" s="61"/>
      <c r="BI185" s="3"/>
      <c r="BJ185" s="61"/>
      <c r="BK185" s="3"/>
      <c r="BL185" s="61"/>
      <c r="BM185" s="3"/>
      <c r="BN185" s="61"/>
    </row>
    <row r="186" spans="49:66" ht="15.75">
      <c r="AW186" s="3"/>
      <c r="AY186" s="4"/>
      <c r="BA186" s="3"/>
      <c r="BC186" s="3"/>
      <c r="BD186" s="61"/>
      <c r="BE186" s="3"/>
      <c r="BF186" s="61"/>
      <c r="BG186" s="3"/>
      <c r="BH186" s="61"/>
      <c r="BI186" s="3"/>
      <c r="BJ186" s="61"/>
      <c r="BK186" s="3"/>
      <c r="BL186" s="61"/>
      <c r="BM186" s="3"/>
      <c r="BN186" s="61"/>
    </row>
    <row r="187" spans="49:66" ht="15.75">
      <c r="AW187" s="3"/>
      <c r="AY187" s="4"/>
      <c r="BA187" s="3"/>
      <c r="BC187" s="3"/>
      <c r="BD187" s="61"/>
      <c r="BE187" s="3"/>
      <c r="BF187" s="61"/>
      <c r="BG187" s="3"/>
      <c r="BH187" s="61"/>
      <c r="BI187" s="3"/>
      <c r="BJ187" s="61"/>
      <c r="BK187" s="3"/>
      <c r="BL187" s="61"/>
      <c r="BM187" s="3"/>
      <c r="BN187" s="61"/>
    </row>
    <row r="188" spans="49:66" ht="15.75">
      <c r="AW188" s="3"/>
      <c r="AY188" s="4"/>
      <c r="BA188" s="3"/>
      <c r="BC188" s="3"/>
      <c r="BD188" s="61"/>
      <c r="BE188" s="3"/>
      <c r="BF188" s="61"/>
      <c r="BG188" s="3"/>
      <c r="BH188" s="61"/>
      <c r="BI188" s="3"/>
      <c r="BJ188" s="61"/>
      <c r="BK188" s="3"/>
      <c r="BL188" s="61"/>
      <c r="BM188" s="3"/>
      <c r="BN188" s="61"/>
    </row>
    <row r="189" spans="49:66" ht="15.75">
      <c r="AW189" s="137"/>
      <c r="AX189" s="4"/>
      <c r="AY189" s="4"/>
      <c r="AZ189" s="4"/>
      <c r="BA189" s="4"/>
      <c r="BC189" s="4"/>
      <c r="BD189" s="61"/>
      <c r="BE189" s="3"/>
      <c r="BF189" s="61"/>
      <c r="BG189" s="3"/>
      <c r="BH189" s="61"/>
      <c r="BI189" s="3"/>
      <c r="BJ189" s="61"/>
      <c r="BK189" s="3"/>
      <c r="BL189" s="61"/>
      <c r="BM189" s="3"/>
      <c r="BN189" s="61"/>
    </row>
    <row r="190" spans="49:66" ht="15.75">
      <c r="AW190" s="136"/>
      <c r="AY190" s="4"/>
      <c r="BA190" s="3"/>
      <c r="BC190" s="3"/>
      <c r="BD190" s="61"/>
      <c r="BE190" s="3"/>
      <c r="BF190" s="61"/>
      <c r="BG190" s="3"/>
      <c r="BH190" s="61"/>
      <c r="BI190" s="3"/>
      <c r="BJ190" s="61"/>
      <c r="BK190" s="3"/>
      <c r="BL190" s="61"/>
      <c r="BM190" s="3"/>
      <c r="BN190" s="61"/>
    </row>
    <row r="191" spans="49:66" ht="15.75">
      <c r="AW191" s="3"/>
      <c r="AY191" s="4"/>
      <c r="BA191" s="3"/>
      <c r="BC191" s="3"/>
      <c r="BD191" s="61"/>
      <c r="BE191" s="3"/>
      <c r="BF191" s="61"/>
      <c r="BG191" s="3"/>
      <c r="BH191" s="61"/>
      <c r="BI191" s="3"/>
      <c r="BJ191" s="61"/>
      <c r="BK191" s="3"/>
      <c r="BL191" s="61"/>
      <c r="BM191" s="3"/>
      <c r="BN191" s="61"/>
    </row>
    <row r="192" spans="49:66" ht="15.75">
      <c r="AW192" s="3"/>
      <c r="AY192" s="4"/>
      <c r="BA192" s="3"/>
      <c r="BC192" s="3"/>
      <c r="BD192" s="61"/>
      <c r="BE192" s="3"/>
      <c r="BF192" s="61"/>
      <c r="BG192" s="3"/>
      <c r="BH192" s="61"/>
      <c r="BI192" s="3"/>
      <c r="BJ192" s="61"/>
      <c r="BK192" s="3"/>
      <c r="BL192" s="61"/>
      <c r="BM192" s="3"/>
      <c r="BN192" s="61"/>
    </row>
    <row r="193" spans="49:66" ht="15.75">
      <c r="AW193" s="3"/>
      <c r="AY193" s="4"/>
      <c r="BA193" s="3"/>
      <c r="BC193" s="3"/>
      <c r="BD193" s="61"/>
      <c r="BE193" s="3"/>
      <c r="BF193" s="61"/>
      <c r="BG193" s="3"/>
      <c r="BH193" s="61"/>
      <c r="BI193" s="3"/>
      <c r="BJ193" s="61"/>
      <c r="BK193" s="3"/>
      <c r="BL193" s="61"/>
      <c r="BM193" s="3"/>
      <c r="BN193" s="61"/>
    </row>
    <row r="194" spans="49:66" ht="15.75">
      <c r="AW194" s="3"/>
      <c r="AY194" s="4"/>
      <c r="BA194" s="3"/>
      <c r="BC194" s="3"/>
      <c r="BD194" s="61"/>
      <c r="BE194" s="3"/>
      <c r="BF194" s="61"/>
      <c r="BG194" s="3"/>
      <c r="BH194" s="61"/>
      <c r="BI194" s="3"/>
      <c r="BJ194" s="61"/>
      <c r="BK194" s="3"/>
      <c r="BL194" s="61"/>
      <c r="BM194" s="3"/>
      <c r="BN194" s="61"/>
    </row>
    <row r="195" spans="49:66" ht="15.75">
      <c r="AW195" s="4"/>
      <c r="AY195" s="4"/>
      <c r="BA195" s="3"/>
      <c r="BC195" s="3"/>
      <c r="BD195" s="61"/>
      <c r="BE195" s="3"/>
      <c r="BF195" s="61"/>
      <c r="BG195" s="3"/>
      <c r="BH195" s="61"/>
      <c r="BI195" s="3"/>
      <c r="BJ195" s="61"/>
      <c r="BK195" s="3"/>
      <c r="BL195" s="61"/>
      <c r="BM195" s="3"/>
      <c r="BN195" s="61"/>
    </row>
    <row r="196" spans="49:66" ht="15.75">
      <c r="AW196" s="3"/>
      <c r="AY196" s="4"/>
      <c r="BA196" s="3"/>
      <c r="BC196" s="3"/>
      <c r="BD196" s="61"/>
      <c r="BE196" s="3"/>
      <c r="BF196" s="61"/>
      <c r="BG196" s="3"/>
      <c r="BH196" s="61"/>
      <c r="BI196" s="3"/>
      <c r="BJ196" s="61"/>
      <c r="BK196" s="3"/>
      <c r="BL196" s="61"/>
      <c r="BM196" s="3"/>
      <c r="BN196" s="61"/>
    </row>
    <row r="197" spans="49:66" ht="15.75">
      <c r="AW197" s="3"/>
      <c r="AY197" s="4"/>
      <c r="BA197" s="3"/>
      <c r="BC197" s="3"/>
      <c r="BD197" s="61"/>
      <c r="BE197" s="3"/>
      <c r="BF197" s="61"/>
      <c r="BG197" s="3"/>
      <c r="BH197" s="61"/>
      <c r="BI197" s="3"/>
      <c r="BJ197" s="61"/>
      <c r="BK197" s="3"/>
      <c r="BL197" s="61"/>
      <c r="BM197" s="3"/>
      <c r="BN197" s="61"/>
    </row>
    <row r="198" spans="49:66" ht="15.75">
      <c r="AW198" s="137"/>
      <c r="AX198" s="4"/>
      <c r="AY198" s="4"/>
      <c r="AZ198" s="4"/>
      <c r="BA198" s="4"/>
      <c r="BC198" s="4"/>
      <c r="BD198" s="61"/>
      <c r="BE198" s="3"/>
      <c r="BF198" s="61"/>
      <c r="BG198" s="3"/>
      <c r="BH198" s="61"/>
      <c r="BI198" s="3"/>
      <c r="BJ198" s="61"/>
      <c r="BK198" s="3"/>
      <c r="BL198" s="61"/>
      <c r="BM198" s="3"/>
      <c r="BN198" s="61"/>
    </row>
    <row r="199" spans="49:66" ht="15.75">
      <c r="AW199" s="4"/>
      <c r="AY199" s="4"/>
      <c r="BA199" s="3"/>
      <c r="BC199" s="3"/>
      <c r="BD199" s="61"/>
      <c r="BE199" s="3"/>
      <c r="BF199" s="61"/>
      <c r="BG199" s="3"/>
      <c r="BH199" s="61"/>
      <c r="BI199" s="3"/>
      <c r="BJ199" s="61"/>
      <c r="BK199" s="3"/>
      <c r="BL199" s="61"/>
      <c r="BM199" s="3"/>
      <c r="BN199" s="61"/>
    </row>
    <row r="200" spans="49:66" ht="15.75">
      <c r="AW200" s="3"/>
      <c r="AY200" s="4"/>
      <c r="BA200" s="3"/>
      <c r="BC200" s="3"/>
      <c r="BD200" s="61"/>
      <c r="BE200" s="3"/>
      <c r="BF200" s="61"/>
      <c r="BG200" s="3"/>
      <c r="BH200" s="61"/>
      <c r="BI200" s="3"/>
      <c r="BJ200" s="61"/>
      <c r="BK200" s="3"/>
      <c r="BL200" s="61"/>
      <c r="BM200" s="3"/>
      <c r="BN200" s="61"/>
    </row>
    <row r="201" spans="49:66" ht="15.75">
      <c r="AW201" s="3"/>
      <c r="AY201" s="4"/>
      <c r="BA201" s="3"/>
      <c r="BC201" s="3"/>
      <c r="BD201" s="61"/>
      <c r="BE201" s="3"/>
      <c r="BF201" s="61"/>
      <c r="BG201" s="3"/>
      <c r="BH201" s="61"/>
      <c r="BI201" s="3"/>
      <c r="BJ201" s="61"/>
      <c r="BK201" s="3"/>
      <c r="BL201" s="61"/>
      <c r="BM201" s="3"/>
      <c r="BN201" s="61"/>
    </row>
    <row r="202" spans="49:66" ht="15.75">
      <c r="AW202" s="4"/>
      <c r="AY202" s="4"/>
      <c r="BA202" s="3"/>
      <c r="BC202" s="3"/>
      <c r="BD202" s="61"/>
      <c r="BE202" s="3"/>
      <c r="BF202" s="61"/>
      <c r="BG202" s="3"/>
      <c r="BH202" s="61"/>
      <c r="BI202" s="3"/>
      <c r="BJ202" s="61"/>
      <c r="BK202" s="3"/>
      <c r="BL202" s="61"/>
      <c r="BM202" s="3"/>
      <c r="BN202" s="61"/>
    </row>
    <row r="203" spans="49:66" ht="15.75">
      <c r="AW203" s="3"/>
      <c r="AY203" s="4"/>
      <c r="BA203" s="3"/>
      <c r="BC203" s="3"/>
      <c r="BD203" s="61"/>
      <c r="BE203" s="3"/>
      <c r="BF203" s="61"/>
      <c r="BG203" s="3"/>
      <c r="BH203" s="61"/>
      <c r="BI203" s="3"/>
      <c r="BJ203" s="61"/>
      <c r="BK203" s="3"/>
      <c r="BL203" s="61"/>
      <c r="BM203" s="3"/>
      <c r="BN203" s="61"/>
    </row>
    <row r="204" spans="49:66" ht="15.75">
      <c r="AW204" s="3"/>
      <c r="AY204" s="4"/>
      <c r="BA204" s="3"/>
      <c r="BC204" s="3"/>
      <c r="BD204" s="61"/>
      <c r="BE204" s="3"/>
      <c r="BF204" s="61"/>
      <c r="BG204" s="3"/>
      <c r="BH204" s="61"/>
      <c r="BI204" s="3"/>
      <c r="BJ204" s="61"/>
      <c r="BK204" s="3"/>
      <c r="BL204" s="61"/>
      <c r="BM204" s="3"/>
      <c r="BN204" s="61"/>
    </row>
    <row r="205" spans="49:66" ht="15.75">
      <c r="AW205" s="4"/>
      <c r="AY205" s="4"/>
      <c r="BA205" s="3"/>
      <c r="BC205" s="3"/>
      <c r="BD205" s="61"/>
      <c r="BE205" s="3"/>
      <c r="BF205" s="61"/>
      <c r="BG205" s="3"/>
      <c r="BH205" s="61"/>
      <c r="BI205" s="3"/>
      <c r="BJ205" s="61"/>
      <c r="BK205" s="3"/>
      <c r="BL205" s="61"/>
      <c r="BM205" s="3"/>
      <c r="BN205" s="61"/>
    </row>
    <row r="206" spans="49:66" ht="15.75">
      <c r="AW206" s="3"/>
      <c r="AY206" s="4"/>
      <c r="BA206" s="3"/>
      <c r="BC206" s="3"/>
      <c r="BD206" s="61"/>
      <c r="BE206" s="3"/>
      <c r="BF206" s="61"/>
      <c r="BG206" s="3"/>
      <c r="BH206" s="61"/>
      <c r="BI206" s="3"/>
      <c r="BJ206" s="61"/>
      <c r="BK206" s="3"/>
      <c r="BL206" s="61"/>
      <c r="BM206" s="3"/>
      <c r="BN206" s="61"/>
    </row>
    <row r="207" spans="49:66" ht="15.75">
      <c r="AW207" s="137"/>
      <c r="AX207" s="4"/>
      <c r="AY207" s="4"/>
      <c r="AZ207" s="4"/>
      <c r="BA207" s="4"/>
      <c r="BC207" s="4"/>
      <c r="BD207" s="61"/>
      <c r="BE207" s="3"/>
      <c r="BF207" s="61"/>
      <c r="BG207" s="3"/>
      <c r="BH207" s="61"/>
      <c r="BI207" s="3"/>
      <c r="BJ207" s="61"/>
      <c r="BK207" s="3"/>
      <c r="BL207" s="61"/>
      <c r="BM207" s="3"/>
      <c r="BN207" s="61"/>
    </row>
    <row r="208" spans="49:66" ht="16.5" thickBot="1">
      <c r="AW208" s="138"/>
      <c r="AX208" s="139"/>
      <c r="AY208" s="139"/>
      <c r="AZ208" s="139"/>
      <c r="BA208" s="139"/>
      <c r="BB208" s="108"/>
      <c r="BC208" s="139"/>
      <c r="BD208" s="61"/>
      <c r="BE208" s="3"/>
      <c r="BF208" s="61"/>
      <c r="BG208" s="3"/>
      <c r="BH208" s="61"/>
      <c r="BI208" s="3"/>
      <c r="BJ208" s="61"/>
      <c r="BK208" s="3"/>
      <c r="BL208" s="61"/>
      <c r="BM208" s="3"/>
      <c r="BN208" s="61"/>
    </row>
    <row r="209" spans="49:66" ht="16.5" thickBot="1">
      <c r="AW209" s="140"/>
      <c r="AX209" s="108"/>
      <c r="AY209" s="139"/>
      <c r="AZ209" s="108"/>
      <c r="BA209" s="108"/>
      <c r="BB209" s="108"/>
      <c r="BC209" s="108"/>
      <c r="BD209" s="61"/>
      <c r="BE209" s="3"/>
      <c r="BF209" s="61"/>
      <c r="BG209" s="3"/>
      <c r="BH209" s="61"/>
      <c r="BI209" s="3"/>
      <c r="BJ209" s="61"/>
      <c r="BK209" s="3"/>
      <c r="BL209" s="61"/>
      <c r="BM209" s="3"/>
      <c r="BN209" s="61"/>
    </row>
    <row r="210" spans="49:66" ht="15.75">
      <c r="AW210" s="3"/>
      <c r="AY210" s="4"/>
      <c r="BA210" s="3"/>
      <c r="BC210" s="3"/>
      <c r="BD210" s="61"/>
      <c r="BE210" s="3"/>
      <c r="BF210" s="61"/>
      <c r="BG210" s="3"/>
      <c r="BH210" s="61"/>
      <c r="BI210" s="3"/>
      <c r="BJ210" s="61"/>
      <c r="BK210" s="3"/>
      <c r="BL210" s="61"/>
      <c r="BM210" s="3"/>
      <c r="BN210" s="61"/>
    </row>
    <row r="211" spans="49:66" ht="15.75">
      <c r="AW211" s="3"/>
      <c r="AY211" s="4"/>
      <c r="BA211" s="3"/>
      <c r="BC211" s="3"/>
      <c r="BD211" s="61"/>
      <c r="BE211" s="3"/>
      <c r="BF211" s="61"/>
      <c r="BG211" s="3"/>
      <c r="BH211" s="61"/>
      <c r="BI211" s="3"/>
      <c r="BJ211" s="61"/>
      <c r="BK211" s="3"/>
      <c r="BL211" s="61"/>
      <c r="BM211" s="3"/>
      <c r="BN211" s="61"/>
    </row>
    <row r="212" spans="49:66" ht="15.75">
      <c r="AW212" s="3"/>
      <c r="AY212" s="4"/>
      <c r="BA212" s="3"/>
      <c r="BC212" s="3"/>
      <c r="BD212" s="61"/>
      <c r="BE212" s="3"/>
      <c r="BF212" s="61"/>
      <c r="BG212" s="3"/>
      <c r="BH212" s="61"/>
      <c r="BI212" s="3"/>
      <c r="BJ212" s="61"/>
      <c r="BK212" s="3"/>
      <c r="BL212" s="61"/>
      <c r="BM212" s="3"/>
      <c r="BN212" s="61"/>
    </row>
    <row r="213" spans="49:66" ht="15.75">
      <c r="AW213" s="137"/>
      <c r="AX213" s="4"/>
      <c r="AY213" s="4"/>
      <c r="AZ213" s="4"/>
      <c r="BA213" s="4"/>
      <c r="BC213" s="4"/>
      <c r="BD213" s="61"/>
      <c r="BE213" s="3"/>
      <c r="BF213" s="61"/>
      <c r="BG213" s="3"/>
      <c r="BH213" s="61"/>
      <c r="BI213" s="3"/>
      <c r="BJ213" s="61"/>
      <c r="BK213" s="3"/>
      <c r="BL213" s="61"/>
      <c r="BM213" s="3"/>
      <c r="BN213" s="61"/>
    </row>
    <row r="214" spans="49:66" ht="15.75">
      <c r="AW214" s="3"/>
      <c r="AY214" s="4"/>
      <c r="BA214" s="3"/>
      <c r="BC214" s="3"/>
      <c r="BD214" s="61"/>
      <c r="BE214" s="3"/>
      <c r="BF214" s="61"/>
      <c r="BG214" s="3"/>
      <c r="BH214" s="61"/>
      <c r="BI214" s="3"/>
      <c r="BJ214" s="61"/>
      <c r="BK214" s="3"/>
      <c r="BL214" s="61"/>
      <c r="BM214" s="3"/>
      <c r="BN214" s="61"/>
    </row>
    <row r="215" spans="49:66" ht="15.75">
      <c r="AW215" s="3"/>
      <c r="AY215" s="4"/>
      <c r="BA215" s="3"/>
      <c r="BC215" s="3"/>
      <c r="BD215" s="61"/>
      <c r="BE215" s="3"/>
      <c r="BF215" s="61"/>
      <c r="BG215" s="3"/>
      <c r="BH215" s="61"/>
      <c r="BI215" s="3"/>
      <c r="BJ215" s="61"/>
      <c r="BK215" s="3"/>
      <c r="BL215" s="61"/>
      <c r="BM215" s="3"/>
      <c r="BN215" s="61"/>
    </row>
    <row r="216" spans="49:66" ht="15.75">
      <c r="AW216" s="4"/>
      <c r="AY216" s="4"/>
      <c r="BA216" s="3"/>
      <c r="BC216" s="3"/>
      <c r="BD216" s="61"/>
      <c r="BE216" s="3"/>
      <c r="BF216" s="61"/>
      <c r="BG216" s="3"/>
      <c r="BH216" s="61"/>
      <c r="BI216" s="3"/>
      <c r="BJ216" s="61"/>
      <c r="BK216" s="3"/>
      <c r="BL216" s="61"/>
      <c r="BM216" s="3"/>
      <c r="BN216" s="61"/>
    </row>
    <row r="217" spans="49:66" ht="15.75">
      <c r="AW217" s="3"/>
      <c r="AY217" s="4"/>
      <c r="BA217" s="3"/>
      <c r="BC217" s="3"/>
      <c r="BD217" s="61"/>
      <c r="BE217" s="3"/>
      <c r="BF217" s="61"/>
      <c r="BG217" s="3"/>
      <c r="BH217" s="61"/>
      <c r="BI217" s="3"/>
      <c r="BJ217" s="61"/>
      <c r="BK217" s="3"/>
      <c r="BL217" s="61"/>
      <c r="BM217" s="3"/>
      <c r="BN217" s="61"/>
    </row>
    <row r="218" spans="49:66" ht="15.75">
      <c r="AW218" s="3"/>
      <c r="AY218" s="4"/>
      <c r="BA218" s="3"/>
      <c r="BC218" s="3"/>
      <c r="BD218" s="61"/>
      <c r="BE218" s="3"/>
      <c r="BF218" s="61"/>
      <c r="BG218" s="3"/>
      <c r="BH218" s="61"/>
      <c r="BI218" s="3"/>
      <c r="BJ218" s="61"/>
      <c r="BK218" s="3"/>
      <c r="BL218" s="61"/>
      <c r="BM218" s="3"/>
      <c r="BN218" s="61"/>
    </row>
    <row r="219" spans="49:66" ht="15.75">
      <c r="AW219" s="3"/>
      <c r="AY219" s="4"/>
      <c r="BA219" s="3"/>
      <c r="BC219" s="3"/>
      <c r="BD219" s="61"/>
      <c r="BE219" s="3"/>
      <c r="BF219" s="61"/>
      <c r="BG219" s="3"/>
      <c r="BH219" s="61"/>
      <c r="BI219" s="3"/>
      <c r="BJ219" s="61"/>
      <c r="BK219" s="3"/>
      <c r="BL219" s="61"/>
      <c r="BM219" s="3"/>
      <c r="BN219" s="61"/>
    </row>
    <row r="220" spans="49:66" ht="15.75">
      <c r="AW220" s="3"/>
      <c r="AY220" s="4"/>
      <c r="BA220" s="3"/>
      <c r="BC220" s="3"/>
      <c r="BD220" s="61"/>
      <c r="BE220" s="3"/>
      <c r="BF220" s="61"/>
      <c r="BG220" s="3"/>
      <c r="BH220" s="61"/>
      <c r="BI220" s="3"/>
      <c r="BJ220" s="61"/>
      <c r="BK220" s="3"/>
      <c r="BL220" s="61"/>
      <c r="BM220" s="3"/>
      <c r="BN220" s="61"/>
    </row>
    <row r="221" spans="49:66" ht="15.75">
      <c r="AW221" s="3"/>
      <c r="AY221" s="4"/>
      <c r="BA221" s="3"/>
      <c r="BC221" s="3"/>
      <c r="BD221" s="61"/>
      <c r="BE221" s="3"/>
      <c r="BF221" s="61"/>
      <c r="BG221" s="3"/>
      <c r="BH221" s="61"/>
      <c r="BI221" s="3"/>
      <c r="BJ221" s="61"/>
      <c r="BK221" s="3"/>
      <c r="BL221" s="61"/>
      <c r="BM221" s="3"/>
      <c r="BN221" s="61"/>
    </row>
    <row r="222" spans="49:66" ht="15.75">
      <c r="AW222" s="4"/>
      <c r="AY222" s="4"/>
      <c r="BA222" s="3"/>
      <c r="BC222" s="3"/>
      <c r="BD222" s="61"/>
      <c r="BE222" s="3"/>
      <c r="BF222" s="61"/>
      <c r="BG222" s="3"/>
      <c r="BH222" s="61"/>
      <c r="BI222" s="3"/>
      <c r="BJ222" s="61"/>
      <c r="BK222" s="3"/>
      <c r="BL222" s="61"/>
      <c r="BM222" s="3"/>
      <c r="BN222" s="61"/>
    </row>
    <row r="223" spans="49:66" ht="15.75">
      <c r="AW223" s="3"/>
      <c r="AY223" s="4"/>
      <c r="BA223" s="3"/>
      <c r="BC223" s="3"/>
      <c r="BD223" s="61"/>
      <c r="BE223" s="3"/>
      <c r="BF223" s="61"/>
      <c r="BG223" s="3"/>
      <c r="BH223" s="61"/>
      <c r="BI223" s="3"/>
      <c r="BJ223" s="61"/>
      <c r="BK223" s="3"/>
      <c r="BL223" s="61"/>
      <c r="BM223" s="3"/>
      <c r="BN223" s="61"/>
    </row>
    <row r="224" spans="49:66" ht="15.75">
      <c r="AW224" s="4"/>
      <c r="AY224" s="4"/>
      <c r="BA224" s="3"/>
      <c r="BC224" s="3"/>
      <c r="BD224" s="61"/>
      <c r="BE224" s="3"/>
      <c r="BF224" s="61"/>
      <c r="BG224" s="3"/>
      <c r="BH224" s="61"/>
      <c r="BI224" s="3"/>
      <c r="BJ224" s="61"/>
      <c r="BK224" s="3"/>
      <c r="BL224" s="61"/>
      <c r="BM224" s="3"/>
      <c r="BN224" s="61"/>
    </row>
    <row r="225" spans="49:66" ht="15.75">
      <c r="AW225" s="137"/>
      <c r="AX225" s="4"/>
      <c r="AY225" s="4"/>
      <c r="AZ225" s="141"/>
      <c r="BA225" s="141"/>
      <c r="BB225" s="142"/>
      <c r="BC225" s="141"/>
      <c r="BD225" s="61"/>
      <c r="BE225" s="3"/>
      <c r="BF225" s="61"/>
      <c r="BG225" s="3"/>
      <c r="BH225" s="61"/>
      <c r="BI225" s="3"/>
      <c r="BJ225" s="61"/>
      <c r="BK225" s="3"/>
      <c r="BL225" s="61"/>
      <c r="BM225" s="3"/>
      <c r="BN225" s="61"/>
    </row>
    <row r="226" spans="49:66" ht="15.75">
      <c r="AW226" s="3"/>
      <c r="AY226" s="4"/>
      <c r="BA226" s="3"/>
      <c r="BC226" s="3"/>
      <c r="BD226" s="61"/>
      <c r="BE226" s="3"/>
      <c r="BF226" s="61"/>
      <c r="BG226" s="3"/>
      <c r="BH226" s="61"/>
      <c r="BI226" s="3"/>
      <c r="BJ226" s="61"/>
      <c r="BK226" s="3"/>
      <c r="BL226" s="61"/>
      <c r="BM226" s="3"/>
      <c r="BN226" s="61"/>
    </row>
    <row r="227" spans="49:66" ht="15.75">
      <c r="AW227" s="3"/>
      <c r="AY227" s="4"/>
      <c r="BA227" s="3"/>
      <c r="BC227" s="3"/>
      <c r="BD227" s="61"/>
      <c r="BE227" s="3"/>
      <c r="BF227" s="61"/>
      <c r="BG227" s="3"/>
      <c r="BH227" s="61"/>
      <c r="BI227" s="3"/>
      <c r="BJ227" s="61"/>
      <c r="BK227" s="3"/>
      <c r="BL227" s="61"/>
      <c r="BM227" s="3"/>
      <c r="BN227" s="61"/>
    </row>
    <row r="228" spans="49:66" ht="15.75">
      <c r="AW228" s="3"/>
      <c r="AY228" s="4"/>
      <c r="BA228" s="3"/>
      <c r="BC228" s="3"/>
      <c r="BD228" s="61"/>
      <c r="BE228" s="3"/>
      <c r="BF228" s="61"/>
      <c r="BG228" s="3"/>
      <c r="BH228" s="61"/>
      <c r="BI228" s="3"/>
      <c r="BJ228" s="61"/>
      <c r="BK228" s="3"/>
      <c r="BL228" s="61"/>
      <c r="BM228" s="3"/>
      <c r="BN228" s="61"/>
    </row>
    <row r="229" spans="49:66" ht="15.75">
      <c r="AW229" s="3"/>
      <c r="AY229" s="4"/>
      <c r="BA229" s="3"/>
      <c r="BC229" s="3"/>
      <c r="BD229" s="61"/>
      <c r="BE229" s="3"/>
      <c r="BF229" s="61"/>
      <c r="BG229" s="3"/>
      <c r="BH229" s="61"/>
      <c r="BI229" s="3"/>
      <c r="BJ229" s="61"/>
      <c r="BK229" s="3"/>
      <c r="BL229" s="61"/>
      <c r="BM229" s="3"/>
      <c r="BN229" s="61"/>
    </row>
    <row r="230" spans="49:66" ht="15.75">
      <c r="AW230" s="3"/>
      <c r="AY230" s="4"/>
      <c r="BA230" s="3"/>
      <c r="BC230" s="3"/>
      <c r="BD230" s="61"/>
      <c r="BE230" s="3"/>
      <c r="BF230" s="61"/>
      <c r="BG230" s="3"/>
      <c r="BH230" s="61"/>
      <c r="BI230" s="3"/>
      <c r="BJ230" s="61"/>
      <c r="BK230" s="3"/>
      <c r="BL230" s="61"/>
      <c r="BM230" s="3"/>
      <c r="BN230" s="61"/>
    </row>
    <row r="231" spans="49:66" ht="15.75">
      <c r="AW231" s="3"/>
      <c r="AY231" s="4"/>
      <c r="BA231" s="3"/>
      <c r="BC231" s="3"/>
      <c r="BD231" s="61"/>
      <c r="BE231" s="3"/>
      <c r="BF231" s="61"/>
      <c r="BG231" s="3"/>
      <c r="BH231" s="61"/>
      <c r="BI231" s="3"/>
      <c r="BJ231" s="61"/>
      <c r="BK231" s="3"/>
      <c r="BL231" s="61"/>
      <c r="BM231" s="3"/>
      <c r="BN231" s="61"/>
    </row>
    <row r="232" spans="49:66" ht="15.75">
      <c r="AW232" s="4"/>
      <c r="AY232" s="4"/>
      <c r="BA232" s="3"/>
      <c r="BC232" s="3"/>
      <c r="BD232" s="61"/>
      <c r="BE232" s="3"/>
      <c r="BF232" s="61"/>
      <c r="BG232" s="3"/>
      <c r="BH232" s="61"/>
      <c r="BI232" s="3"/>
      <c r="BJ232" s="61"/>
      <c r="BK232" s="3"/>
      <c r="BL232" s="61"/>
      <c r="BM232" s="3"/>
      <c r="BN232" s="61"/>
    </row>
    <row r="233" spans="49:66" ht="15.75">
      <c r="AW233" s="4"/>
      <c r="AY233" s="4"/>
      <c r="BA233" s="3"/>
      <c r="BC233" s="3"/>
      <c r="BD233" s="61"/>
      <c r="BE233" s="3"/>
      <c r="BF233" s="61"/>
      <c r="BG233" s="3"/>
      <c r="BH233" s="61"/>
      <c r="BI233" s="3"/>
      <c r="BJ233" s="61"/>
      <c r="BK233" s="3"/>
      <c r="BL233" s="61"/>
      <c r="BM233" s="3"/>
      <c r="BN233" s="61"/>
    </row>
    <row r="234" spans="49:66" ht="15.75">
      <c r="AW234" s="3"/>
      <c r="AY234" s="4"/>
      <c r="BA234" s="3"/>
      <c r="BC234" s="3"/>
      <c r="BD234" s="61"/>
      <c r="BE234" s="3"/>
      <c r="BF234" s="61"/>
      <c r="BG234" s="3"/>
      <c r="BH234" s="61"/>
      <c r="BI234" s="3"/>
      <c r="BJ234" s="61"/>
      <c r="BK234" s="3"/>
      <c r="BL234" s="61"/>
      <c r="BM234" s="3"/>
      <c r="BN234" s="61"/>
    </row>
    <row r="235" spans="49:66" ht="15.75">
      <c r="AW235" s="137"/>
      <c r="AX235" s="4"/>
      <c r="AY235" s="4"/>
      <c r="AZ235" s="4"/>
      <c r="BA235" s="4"/>
      <c r="BC235" s="4"/>
      <c r="BD235" s="61"/>
      <c r="BE235" s="3"/>
      <c r="BF235" s="61"/>
      <c r="BG235" s="3"/>
      <c r="BH235" s="61"/>
      <c r="BI235" s="3"/>
      <c r="BJ235" s="61"/>
      <c r="BK235" s="3"/>
      <c r="BL235" s="61"/>
      <c r="BM235" s="3"/>
      <c r="BN235" s="61"/>
    </row>
    <row r="236" spans="49:66" ht="15.75">
      <c r="AW236" s="4"/>
      <c r="AY236" s="4"/>
      <c r="BA236" s="3"/>
      <c r="BC236" s="3"/>
      <c r="BD236" s="61"/>
      <c r="BE236" s="3"/>
      <c r="BF236" s="61"/>
      <c r="BG236" s="3"/>
      <c r="BH236" s="61"/>
      <c r="BI236" s="3"/>
      <c r="BJ236" s="61"/>
      <c r="BK236" s="3"/>
      <c r="BL236" s="61"/>
      <c r="BM236" s="3"/>
      <c r="BN236" s="61"/>
    </row>
    <row r="237" spans="49:66" ht="15.75">
      <c r="AW237" s="3"/>
      <c r="AY237" s="4"/>
      <c r="BA237" s="3"/>
      <c r="BC237" s="3"/>
      <c r="BD237" s="61"/>
      <c r="BE237" s="3"/>
      <c r="BF237" s="61"/>
      <c r="BG237" s="3"/>
      <c r="BH237" s="61"/>
      <c r="BI237" s="3"/>
      <c r="BJ237" s="61"/>
      <c r="BK237" s="3"/>
      <c r="BL237" s="61"/>
      <c r="BM237" s="3"/>
      <c r="BN237" s="61"/>
    </row>
    <row r="238" spans="49:66" ht="15.75">
      <c r="AW238" s="3"/>
      <c r="AY238" s="4"/>
      <c r="BA238" s="3"/>
      <c r="BC238" s="3"/>
      <c r="BD238" s="61"/>
      <c r="BE238" s="3"/>
      <c r="BF238" s="61"/>
      <c r="BG238" s="3"/>
      <c r="BH238" s="61"/>
      <c r="BI238" s="3"/>
      <c r="BJ238" s="61"/>
      <c r="BK238" s="3"/>
      <c r="BL238" s="61"/>
      <c r="BM238" s="3"/>
      <c r="BN238" s="61"/>
    </row>
    <row r="239" spans="49:66" ht="15.75">
      <c r="AW239" s="4"/>
      <c r="AY239" s="4"/>
      <c r="BA239" s="3"/>
      <c r="BC239" s="3"/>
      <c r="BD239" s="61"/>
      <c r="BE239" s="3"/>
      <c r="BF239" s="61"/>
      <c r="BG239" s="3"/>
      <c r="BH239" s="61"/>
      <c r="BI239" s="3"/>
      <c r="BJ239" s="61"/>
      <c r="BK239" s="3"/>
      <c r="BL239" s="61"/>
      <c r="BM239" s="3"/>
      <c r="BN239" s="61"/>
    </row>
    <row r="240" spans="49:66" ht="15.75">
      <c r="AW240" s="3"/>
      <c r="AY240" s="4"/>
      <c r="BA240" s="3"/>
      <c r="BC240" s="3"/>
      <c r="BD240" s="61"/>
      <c r="BE240" s="3"/>
      <c r="BF240" s="61"/>
      <c r="BG240" s="3"/>
      <c r="BH240" s="61"/>
      <c r="BI240" s="3"/>
      <c r="BJ240" s="61"/>
      <c r="BK240" s="3"/>
      <c r="BL240" s="61"/>
      <c r="BM240" s="3"/>
      <c r="BN240" s="61"/>
    </row>
    <row r="241" spans="49:66" ht="15.75">
      <c r="AW241" s="3"/>
      <c r="AY241" s="4"/>
      <c r="BA241" s="3"/>
      <c r="BC241" s="3"/>
      <c r="BD241" s="61"/>
      <c r="BE241" s="3"/>
      <c r="BF241" s="61"/>
      <c r="BG241" s="3"/>
      <c r="BH241" s="61"/>
      <c r="BI241" s="3"/>
      <c r="BJ241" s="61"/>
      <c r="BK241" s="3"/>
      <c r="BL241" s="61"/>
      <c r="BM241" s="3"/>
      <c r="BN241" s="61"/>
    </row>
    <row r="242" spans="49:66" ht="15.75">
      <c r="AW242" s="4"/>
      <c r="AY242" s="4"/>
      <c r="BA242" s="3"/>
      <c r="BC242" s="3"/>
      <c r="BD242" s="61"/>
      <c r="BE242" s="3"/>
      <c r="BF242" s="61"/>
      <c r="BG242" s="3"/>
      <c r="BH242" s="61"/>
      <c r="BI242" s="3"/>
      <c r="BJ242" s="61"/>
      <c r="BK242" s="3"/>
      <c r="BL242" s="61"/>
      <c r="BM242" s="3"/>
      <c r="BN242" s="61"/>
    </row>
    <row r="243" spans="49:66" ht="15.75">
      <c r="AW243" s="3"/>
      <c r="AY243" s="4"/>
      <c r="BA243" s="3"/>
      <c r="BC243" s="3"/>
      <c r="BD243" s="61"/>
      <c r="BE243" s="3"/>
      <c r="BF243" s="61"/>
      <c r="BG243" s="3"/>
      <c r="BH243" s="61"/>
      <c r="BI243" s="3"/>
      <c r="BJ243" s="61"/>
      <c r="BK243" s="3"/>
      <c r="BL243" s="61"/>
      <c r="BM243" s="3"/>
      <c r="BN243" s="61"/>
    </row>
    <row r="244" spans="49:66" ht="15.75">
      <c r="AW244" s="137"/>
      <c r="AY244" s="4"/>
      <c r="AZ244" s="4"/>
      <c r="BA244" s="4"/>
      <c r="BC244" s="4"/>
      <c r="BD244" s="61"/>
      <c r="BE244" s="3"/>
      <c r="BF244" s="61"/>
      <c r="BG244" s="3"/>
      <c r="BH244" s="61"/>
      <c r="BI244" s="3"/>
      <c r="BJ244" s="61"/>
      <c r="BK244" s="3"/>
      <c r="BL244" s="61"/>
      <c r="BM244" s="3"/>
      <c r="BN244" s="61"/>
    </row>
    <row r="245" spans="49:66" ht="16.5" thickBot="1">
      <c r="AW245" s="138"/>
      <c r="AX245" s="108"/>
      <c r="AY245" s="139"/>
      <c r="AZ245" s="139"/>
      <c r="BA245" s="139"/>
      <c r="BB245" s="108"/>
      <c r="BC245" s="139"/>
      <c r="BD245" s="61"/>
      <c r="BE245" s="3"/>
      <c r="BF245" s="61"/>
      <c r="BG245" s="3"/>
      <c r="BH245" s="61"/>
      <c r="BI245" s="3"/>
      <c r="BJ245" s="61"/>
      <c r="BK245" s="3"/>
      <c r="BL245" s="61"/>
      <c r="BM245" s="3"/>
      <c r="BN245" s="61"/>
    </row>
    <row r="246" spans="49:66" ht="16.5" thickBot="1">
      <c r="AW246" s="140"/>
      <c r="AX246" s="108"/>
      <c r="AY246" s="139"/>
      <c r="AZ246" s="108"/>
      <c r="BA246" s="108"/>
      <c r="BB246" s="108"/>
      <c r="BC246" s="108"/>
      <c r="BD246" s="61"/>
      <c r="BE246" s="3"/>
      <c r="BF246" s="61"/>
      <c r="BG246" s="3"/>
      <c r="BH246" s="61"/>
      <c r="BI246" s="3"/>
      <c r="BJ246" s="61"/>
      <c r="BK246" s="3"/>
      <c r="BL246" s="61"/>
      <c r="BM246" s="3"/>
      <c r="BN246" s="61"/>
    </row>
    <row r="247" spans="49:66" ht="15.75">
      <c r="AW247" s="3"/>
      <c r="AY247" s="4"/>
      <c r="BA247" s="3"/>
      <c r="BC247" s="3"/>
      <c r="BD247" s="61"/>
      <c r="BE247" s="3"/>
      <c r="BF247" s="61"/>
      <c r="BG247" s="3"/>
      <c r="BH247" s="61"/>
      <c r="BI247" s="3"/>
      <c r="BJ247" s="61"/>
      <c r="BK247" s="3"/>
      <c r="BL247" s="61"/>
      <c r="BM247" s="3"/>
      <c r="BN247" s="61"/>
    </row>
    <row r="248" spans="49:66" ht="15.75">
      <c r="AW248" s="3"/>
      <c r="AY248" s="4"/>
      <c r="BA248" s="3"/>
      <c r="BC248" s="3"/>
      <c r="BD248" s="61"/>
      <c r="BE248" s="3"/>
      <c r="BF248" s="61"/>
      <c r="BG248" s="3"/>
      <c r="BH248" s="61"/>
      <c r="BI248" s="3"/>
      <c r="BJ248" s="61"/>
      <c r="BK248" s="3"/>
      <c r="BL248" s="61"/>
      <c r="BM248" s="3"/>
      <c r="BN248" s="61"/>
    </row>
    <row r="249" spans="49:66" ht="15.75">
      <c r="AW249" s="3"/>
      <c r="AY249" s="4"/>
      <c r="BA249" s="3"/>
      <c r="BC249" s="3"/>
      <c r="BD249" s="61"/>
      <c r="BE249" s="3"/>
      <c r="BF249" s="61"/>
      <c r="BG249" s="3"/>
      <c r="BH249" s="61"/>
      <c r="BI249" s="3"/>
      <c r="BJ249" s="61"/>
      <c r="BK249" s="3"/>
      <c r="BL249" s="61"/>
      <c r="BM249" s="3"/>
      <c r="BN249" s="61"/>
    </row>
    <row r="250" spans="49:66" ht="15.75">
      <c r="AW250" s="137"/>
      <c r="AY250" s="4"/>
      <c r="AZ250" s="4"/>
      <c r="BA250" s="4"/>
      <c r="BC250" s="4"/>
      <c r="BD250" s="61"/>
      <c r="BE250" s="3"/>
      <c r="BF250" s="61"/>
      <c r="BG250" s="3"/>
      <c r="BH250" s="61"/>
      <c r="BI250" s="3"/>
      <c r="BJ250" s="61"/>
      <c r="BK250" s="3"/>
      <c r="BL250" s="61"/>
      <c r="BM250" s="3"/>
      <c r="BN250" s="61"/>
    </row>
    <row r="251" spans="49:66" ht="15.75">
      <c r="AW251" s="3"/>
      <c r="AY251" s="4"/>
      <c r="BA251" s="3"/>
      <c r="BC251" s="3"/>
      <c r="BD251" s="61"/>
      <c r="BE251" s="3"/>
      <c r="BF251" s="61"/>
      <c r="BG251" s="3"/>
      <c r="BH251" s="61"/>
      <c r="BI251" s="3"/>
      <c r="BJ251" s="61"/>
      <c r="BK251" s="3"/>
      <c r="BL251" s="61"/>
      <c r="BM251" s="3"/>
      <c r="BN251" s="61"/>
    </row>
    <row r="252" spans="49:66" ht="15.75">
      <c r="AW252" s="3"/>
      <c r="AY252" s="4"/>
      <c r="BA252" s="3"/>
      <c r="BC252" s="3"/>
      <c r="BD252" s="61"/>
      <c r="BE252" s="3"/>
      <c r="BF252" s="61"/>
      <c r="BG252" s="3"/>
      <c r="BH252" s="61"/>
      <c r="BI252" s="3"/>
      <c r="BJ252" s="61"/>
      <c r="BK252" s="3"/>
      <c r="BL252" s="61"/>
      <c r="BM252" s="3"/>
      <c r="BN252" s="61"/>
    </row>
    <row r="253" spans="49:66" ht="15.75">
      <c r="AW253" s="3"/>
      <c r="AY253" s="4"/>
      <c r="BA253" s="3"/>
      <c r="BC253" s="3"/>
      <c r="BD253" s="61"/>
      <c r="BE253" s="3"/>
      <c r="BF253" s="61"/>
      <c r="BG253" s="3"/>
      <c r="BH253" s="61"/>
      <c r="BI253" s="3"/>
      <c r="BJ253" s="61"/>
      <c r="BK253" s="3"/>
      <c r="BL253" s="61"/>
      <c r="BM253" s="3"/>
      <c r="BN253" s="61"/>
    </row>
    <row r="254" spans="49:66" ht="15.75">
      <c r="AW254" s="3"/>
      <c r="AY254" s="4"/>
      <c r="BA254" s="3"/>
      <c r="BC254" s="3"/>
      <c r="BD254" s="61"/>
      <c r="BE254" s="3"/>
      <c r="BF254" s="61"/>
      <c r="BG254" s="3"/>
      <c r="BH254" s="61"/>
      <c r="BI254" s="3"/>
      <c r="BJ254" s="61"/>
      <c r="BK254" s="3"/>
      <c r="BL254" s="61"/>
      <c r="BM254" s="3"/>
      <c r="BN254" s="61"/>
    </row>
    <row r="255" spans="49:66" ht="15.75">
      <c r="AW255" s="3"/>
      <c r="AY255" s="4"/>
      <c r="BA255" s="3"/>
      <c r="BC255" s="3"/>
      <c r="BD255" s="61"/>
      <c r="BE255" s="3"/>
      <c r="BF255" s="61"/>
      <c r="BG255" s="3"/>
      <c r="BH255" s="61"/>
      <c r="BI255" s="3"/>
      <c r="BJ255" s="61"/>
      <c r="BK255" s="3"/>
      <c r="BL255" s="61"/>
      <c r="BM255" s="3"/>
      <c r="BN255" s="61"/>
    </row>
    <row r="256" spans="49:66" ht="15.75">
      <c r="AW256" s="3"/>
      <c r="AY256" s="4"/>
      <c r="BA256" s="3"/>
      <c r="BC256" s="3"/>
      <c r="BD256" s="61"/>
      <c r="BE256" s="3"/>
      <c r="BF256" s="61"/>
      <c r="BG256" s="3"/>
      <c r="BH256" s="61"/>
      <c r="BI256" s="3"/>
      <c r="BJ256" s="61"/>
      <c r="BK256" s="3"/>
      <c r="BL256" s="61"/>
      <c r="BM256" s="3"/>
      <c r="BN256" s="61"/>
    </row>
    <row r="257" spans="49:66" ht="15.75">
      <c r="AW257" s="3"/>
      <c r="AY257" s="4"/>
      <c r="BA257" s="3"/>
      <c r="BC257" s="3"/>
      <c r="BD257" s="61"/>
      <c r="BE257" s="3"/>
      <c r="BF257" s="61"/>
      <c r="BG257" s="3"/>
      <c r="BH257" s="61"/>
      <c r="BI257" s="3"/>
      <c r="BJ257" s="61"/>
      <c r="BK257" s="3"/>
      <c r="BL257" s="61"/>
      <c r="BM257" s="3"/>
      <c r="BN257" s="61"/>
    </row>
    <row r="258" spans="49:66" ht="15.75">
      <c r="AW258" s="3"/>
      <c r="AY258" s="4"/>
      <c r="BA258" s="3"/>
      <c r="BC258" s="3"/>
      <c r="BD258" s="61"/>
      <c r="BE258" s="3"/>
      <c r="BF258" s="61"/>
      <c r="BG258" s="3"/>
      <c r="BH258" s="61"/>
      <c r="BI258" s="3"/>
      <c r="BJ258" s="61"/>
      <c r="BK258" s="3"/>
      <c r="BL258" s="61"/>
      <c r="BM258" s="3"/>
      <c r="BN258" s="61"/>
    </row>
    <row r="259" spans="49:66" ht="15.75">
      <c r="AW259" s="4"/>
      <c r="AY259" s="4"/>
      <c r="BA259" s="3"/>
      <c r="BC259" s="3"/>
      <c r="BD259" s="61"/>
      <c r="BE259" s="3"/>
      <c r="BF259" s="61"/>
      <c r="BG259" s="3"/>
      <c r="BH259" s="61"/>
      <c r="BI259" s="3"/>
      <c r="BJ259" s="61"/>
      <c r="BK259" s="3"/>
      <c r="BL259" s="61"/>
      <c r="BM259" s="3"/>
      <c r="BN259" s="61"/>
    </row>
    <row r="260" spans="49:66" ht="15.75">
      <c r="AW260" s="137"/>
      <c r="AX260" s="4"/>
      <c r="AZ260" s="4"/>
      <c r="BA260" s="4"/>
      <c r="BC260" s="4"/>
      <c r="BD260" s="61"/>
      <c r="BE260" s="3"/>
      <c r="BF260" s="61"/>
      <c r="BG260" s="3"/>
      <c r="BH260" s="61"/>
      <c r="BI260" s="3"/>
      <c r="BJ260" s="61"/>
      <c r="BK260" s="3"/>
      <c r="BL260" s="61"/>
      <c r="BM260" s="3"/>
      <c r="BN260" s="61"/>
    </row>
    <row r="261" spans="49:66" ht="15.75">
      <c r="AW261" s="3"/>
      <c r="AY261" s="4"/>
      <c r="BA261" s="3"/>
      <c r="BC261" s="3"/>
      <c r="BD261" s="61"/>
      <c r="BE261" s="3"/>
      <c r="BF261" s="61"/>
      <c r="BG261" s="3"/>
      <c r="BH261" s="61"/>
      <c r="BI261" s="3"/>
      <c r="BJ261" s="61"/>
      <c r="BK261" s="3"/>
      <c r="BL261" s="61"/>
      <c r="BM261" s="3"/>
      <c r="BN261" s="61"/>
    </row>
    <row r="262" spans="49:66" ht="15.75">
      <c r="AW262" s="3"/>
      <c r="AY262" s="4"/>
      <c r="BA262" s="3"/>
      <c r="BC262" s="3"/>
      <c r="BD262" s="61"/>
      <c r="BE262" s="3"/>
      <c r="BF262" s="61"/>
      <c r="BG262" s="3"/>
      <c r="BH262" s="61"/>
      <c r="BI262" s="3"/>
      <c r="BJ262" s="61"/>
      <c r="BK262" s="3"/>
      <c r="BL262" s="61"/>
      <c r="BM262" s="3"/>
      <c r="BN262" s="61"/>
    </row>
    <row r="263" spans="49:66" ht="15.75">
      <c r="AW263" s="3"/>
      <c r="AY263" s="4"/>
      <c r="BA263" s="3"/>
      <c r="BC263" s="3"/>
      <c r="BD263" s="61"/>
      <c r="BE263" s="3"/>
      <c r="BF263" s="61"/>
      <c r="BG263" s="3"/>
      <c r="BH263" s="61"/>
      <c r="BI263" s="3"/>
      <c r="BJ263" s="61"/>
      <c r="BK263" s="3"/>
      <c r="BL263" s="61"/>
      <c r="BM263" s="3"/>
      <c r="BN263" s="61"/>
    </row>
    <row r="264" spans="49:66" ht="15.75">
      <c r="AW264" s="3"/>
      <c r="AY264" s="4"/>
      <c r="BA264" s="3"/>
      <c r="BC264" s="3"/>
      <c r="BD264" s="61"/>
      <c r="BE264" s="3"/>
      <c r="BF264" s="61"/>
      <c r="BG264" s="3"/>
      <c r="BH264" s="61"/>
      <c r="BI264" s="3"/>
      <c r="BJ264" s="61"/>
      <c r="BK264" s="3"/>
      <c r="BL264" s="61"/>
      <c r="BM264" s="3"/>
      <c r="BN264" s="61"/>
    </row>
    <row r="265" spans="49:66" ht="15.75">
      <c r="AW265" s="143"/>
      <c r="AY265" s="4"/>
      <c r="BA265" s="3"/>
      <c r="BC265" s="3"/>
      <c r="BD265" s="61"/>
      <c r="BE265" s="3"/>
      <c r="BF265" s="61"/>
      <c r="BG265" s="3"/>
      <c r="BH265" s="61"/>
      <c r="BI265" s="3"/>
      <c r="BJ265" s="61"/>
      <c r="BK265" s="3"/>
      <c r="BL265" s="61"/>
      <c r="BM265" s="3"/>
      <c r="BN265" s="61"/>
    </row>
    <row r="266" spans="49:66" ht="15.75">
      <c r="AW266" s="3"/>
      <c r="AY266" s="4"/>
      <c r="BA266" s="3"/>
      <c r="BC266" s="3"/>
      <c r="BD266" s="61"/>
      <c r="BE266" s="3"/>
      <c r="BF266" s="61"/>
      <c r="BG266" s="3"/>
      <c r="BH266" s="61"/>
      <c r="BI266" s="3"/>
      <c r="BJ266" s="61"/>
      <c r="BK266" s="3"/>
      <c r="BL266" s="61"/>
      <c r="BM266" s="3"/>
      <c r="BN266" s="61"/>
    </row>
    <row r="267" spans="49:66" ht="15.75">
      <c r="AW267" s="136"/>
      <c r="AY267" s="4"/>
      <c r="BA267" s="3"/>
      <c r="BC267" s="3"/>
      <c r="BD267" s="61"/>
      <c r="BE267" s="3"/>
      <c r="BF267" s="61"/>
      <c r="BG267" s="3"/>
      <c r="BH267" s="61"/>
      <c r="BI267" s="3"/>
      <c r="BJ267" s="61"/>
      <c r="BK267" s="3"/>
      <c r="BL267" s="61"/>
      <c r="BM267" s="3"/>
      <c r="BN267" s="61"/>
    </row>
    <row r="268" spans="49:66" ht="15.75">
      <c r="AW268" s="137"/>
      <c r="AX268" s="4"/>
      <c r="AY268" s="4"/>
      <c r="AZ268" s="4"/>
      <c r="BA268" s="4"/>
      <c r="BC268" s="4"/>
      <c r="BD268" s="61"/>
      <c r="BE268" s="3"/>
      <c r="BF268" s="61"/>
      <c r="BG268" s="3"/>
      <c r="BH268" s="61"/>
      <c r="BI268" s="3"/>
      <c r="BJ268" s="61"/>
      <c r="BK268" s="3"/>
      <c r="BL268" s="61"/>
      <c r="BM268" s="3"/>
      <c r="BN268" s="61"/>
    </row>
    <row r="269" spans="49:66" ht="15.75">
      <c r="AW269" s="3"/>
      <c r="AY269" s="4"/>
      <c r="BA269" s="3"/>
      <c r="BC269" s="3"/>
      <c r="BD269" s="61"/>
      <c r="BE269" s="3"/>
      <c r="BF269" s="61"/>
      <c r="BG269" s="3"/>
      <c r="BH269" s="61"/>
      <c r="BI269" s="3"/>
      <c r="BJ269" s="61"/>
      <c r="BK269" s="3"/>
      <c r="BL269" s="61"/>
      <c r="BM269" s="3"/>
      <c r="BN269" s="61"/>
    </row>
    <row r="270" spans="49:66" ht="15.75">
      <c r="AW270" s="3"/>
      <c r="AY270" s="4"/>
      <c r="BA270" s="3"/>
      <c r="BC270" s="3"/>
      <c r="BD270" s="61"/>
      <c r="BE270" s="3"/>
      <c r="BF270" s="61"/>
      <c r="BG270" s="3"/>
      <c r="BH270" s="61"/>
      <c r="BI270" s="3"/>
      <c r="BJ270" s="61"/>
      <c r="BK270" s="3"/>
      <c r="BL270" s="61"/>
      <c r="BM270" s="3"/>
      <c r="BN270" s="61"/>
    </row>
    <row r="271" spans="49:66" ht="15.75">
      <c r="AW271" s="4"/>
      <c r="AY271" s="4"/>
      <c r="BA271" s="3"/>
      <c r="BC271" s="3"/>
      <c r="BD271" s="61"/>
      <c r="BE271" s="3"/>
      <c r="BF271" s="61"/>
      <c r="BG271" s="3"/>
      <c r="BH271" s="61"/>
      <c r="BI271" s="3"/>
      <c r="BJ271" s="61"/>
      <c r="BK271" s="3"/>
      <c r="BL271" s="61"/>
      <c r="BM271" s="3"/>
      <c r="BN271" s="61"/>
    </row>
    <row r="272" spans="49:66" ht="15.75">
      <c r="AW272" s="3"/>
      <c r="AY272" s="4"/>
      <c r="BA272" s="3"/>
      <c r="BC272" s="3"/>
      <c r="BD272" s="61"/>
      <c r="BE272" s="3"/>
      <c r="BF272" s="61"/>
      <c r="BG272" s="3"/>
      <c r="BH272" s="61"/>
      <c r="BI272" s="3"/>
      <c r="BJ272" s="61"/>
      <c r="BK272" s="3"/>
      <c r="BL272" s="61"/>
      <c r="BM272" s="3"/>
      <c r="BN272" s="61"/>
    </row>
    <row r="273" spans="49:66" ht="15.75">
      <c r="AW273" s="144"/>
      <c r="AY273" s="4"/>
      <c r="BA273" s="3"/>
      <c r="BC273" s="3"/>
      <c r="BD273" s="61"/>
      <c r="BE273" s="3"/>
      <c r="BF273" s="61"/>
      <c r="BG273" s="3"/>
      <c r="BH273" s="61"/>
      <c r="BI273" s="3"/>
      <c r="BJ273" s="61"/>
      <c r="BK273" s="3"/>
      <c r="BL273" s="61"/>
      <c r="BM273" s="3"/>
      <c r="BN273" s="61"/>
    </row>
    <row r="274" spans="49:66" ht="15.75">
      <c r="AW274" s="144"/>
      <c r="AY274" s="4"/>
      <c r="BA274" s="3"/>
      <c r="BC274" s="3"/>
      <c r="BD274" s="61"/>
      <c r="BE274" s="3"/>
      <c r="BF274" s="61"/>
      <c r="BG274" s="3"/>
      <c r="BH274" s="61"/>
      <c r="BI274" s="3"/>
      <c r="BJ274" s="61"/>
      <c r="BK274" s="3"/>
      <c r="BL274" s="61"/>
      <c r="BM274" s="3"/>
      <c r="BN274" s="61"/>
    </row>
    <row r="275" spans="49:66" ht="15.75">
      <c r="AW275" s="3"/>
      <c r="AY275" s="4"/>
      <c r="BA275" s="3"/>
      <c r="BC275" s="3"/>
      <c r="BD275" s="61"/>
      <c r="BE275" s="3"/>
      <c r="BF275" s="61"/>
      <c r="BG275" s="3"/>
      <c r="BH275" s="61"/>
      <c r="BI275" s="3"/>
      <c r="BJ275" s="61"/>
      <c r="BK275" s="3"/>
      <c r="BL275" s="61"/>
      <c r="BM275" s="3"/>
      <c r="BN275" s="61"/>
    </row>
    <row r="276" spans="49:66" ht="15.75">
      <c r="AW276" s="4"/>
      <c r="AY276" s="4"/>
      <c r="BA276" s="3"/>
      <c r="BC276" s="3"/>
      <c r="BD276" s="61"/>
      <c r="BE276" s="3"/>
      <c r="BF276" s="61"/>
      <c r="BG276" s="3"/>
      <c r="BH276" s="61"/>
      <c r="BI276" s="3"/>
      <c r="BJ276" s="61"/>
      <c r="BK276" s="3"/>
      <c r="BL276" s="61"/>
      <c r="BM276" s="3"/>
      <c r="BN276" s="61"/>
    </row>
    <row r="277" spans="49:66" ht="15.75">
      <c r="AW277" s="137"/>
      <c r="AX277" s="4"/>
      <c r="AY277" s="4"/>
      <c r="AZ277" s="4"/>
      <c r="BA277" s="4"/>
      <c r="BC277" s="4"/>
      <c r="BD277" s="61"/>
      <c r="BE277" s="3"/>
      <c r="BF277" s="61"/>
      <c r="BG277" s="3"/>
      <c r="BH277" s="61"/>
      <c r="BI277" s="3"/>
      <c r="BJ277" s="61"/>
      <c r="BK277" s="3"/>
      <c r="BL277" s="61"/>
      <c r="BM277" s="3"/>
      <c r="BN277" s="61"/>
    </row>
    <row r="278" spans="49:66" ht="15.75">
      <c r="AW278" s="137"/>
      <c r="AX278" s="4"/>
      <c r="AY278" s="4"/>
      <c r="AZ278" s="4"/>
      <c r="BA278" s="4"/>
      <c r="BC278" s="4"/>
      <c r="BD278" s="61"/>
      <c r="BE278" s="3"/>
      <c r="BF278" s="61"/>
      <c r="BG278" s="3"/>
      <c r="BH278" s="61"/>
      <c r="BI278" s="3"/>
      <c r="BJ278" s="61"/>
      <c r="BK278" s="3"/>
      <c r="BL278" s="61"/>
      <c r="BM278" s="3"/>
      <c r="BN278" s="61"/>
    </row>
    <row r="279" spans="49:66" ht="15.75">
      <c r="AW279" s="99"/>
      <c r="AY279" s="4"/>
      <c r="BA279" s="3"/>
      <c r="BC279" s="3"/>
      <c r="BD279" s="61"/>
      <c r="BE279" s="3"/>
      <c r="BF279" s="61"/>
      <c r="BG279" s="3"/>
      <c r="BH279" s="61"/>
      <c r="BI279" s="3"/>
      <c r="BJ279" s="61"/>
      <c r="BK279" s="3"/>
      <c r="BL279" s="61"/>
      <c r="BM279" s="3"/>
      <c r="BN279" s="61"/>
    </row>
    <row r="280" spans="49:66" ht="15.75">
      <c r="AW280" s="3"/>
      <c r="AY280" s="4"/>
      <c r="BA280" s="3"/>
      <c r="BC280" s="3"/>
      <c r="BD280" s="61"/>
      <c r="BE280" s="3"/>
      <c r="BF280" s="61"/>
      <c r="BG280" s="3"/>
      <c r="BH280" s="61"/>
      <c r="BI280" s="3"/>
      <c r="BJ280" s="61"/>
      <c r="BK280" s="3"/>
      <c r="BL280" s="61"/>
      <c r="BM280" s="3"/>
      <c r="BN280" s="61"/>
    </row>
    <row r="281" spans="49:66" ht="15.75">
      <c r="AW281" s="3"/>
      <c r="AY281" s="4"/>
      <c r="BA281" s="3"/>
      <c r="BC281" s="3"/>
      <c r="BD281" s="61"/>
      <c r="BE281" s="3"/>
      <c r="BF281" s="61"/>
      <c r="BG281" s="3"/>
      <c r="BH281" s="61"/>
      <c r="BI281" s="3"/>
      <c r="BJ281" s="61"/>
      <c r="BK281" s="3"/>
      <c r="BL281" s="61"/>
      <c r="BM281" s="3"/>
      <c r="BN281" s="61"/>
    </row>
    <row r="282" spans="49:66" ht="15.75">
      <c r="AW282" s="3"/>
      <c r="AY282" s="4"/>
      <c r="BA282" s="3"/>
      <c r="BC282" s="3"/>
      <c r="BD282" s="61"/>
      <c r="BE282" s="3"/>
      <c r="BF282" s="61"/>
      <c r="BG282" s="3"/>
      <c r="BH282" s="61"/>
      <c r="BI282" s="3"/>
      <c r="BJ282" s="61"/>
      <c r="BK282" s="3"/>
      <c r="BL282" s="61"/>
      <c r="BM282" s="3"/>
      <c r="BN282" s="61"/>
    </row>
    <row r="283" spans="49:66" ht="15.75">
      <c r="AW283" s="137"/>
      <c r="AX283" s="4"/>
      <c r="AY283" s="4"/>
      <c r="AZ283" s="4"/>
      <c r="BA283" s="4"/>
      <c r="BC283" s="4"/>
      <c r="BD283" s="61"/>
      <c r="BE283" s="3"/>
      <c r="BF283" s="61"/>
      <c r="BG283" s="3"/>
      <c r="BH283" s="61"/>
      <c r="BI283" s="3"/>
      <c r="BJ283" s="61"/>
      <c r="BK283" s="3"/>
      <c r="BL283" s="61"/>
      <c r="BM283" s="3"/>
      <c r="BN283" s="61"/>
    </row>
    <row r="284" spans="49:66" ht="15.75">
      <c r="AW284" s="3"/>
      <c r="AY284" s="4"/>
      <c r="BA284" s="3"/>
      <c r="BC284" s="3"/>
      <c r="BD284" s="61"/>
      <c r="BE284" s="3"/>
      <c r="BF284" s="61"/>
      <c r="BG284" s="3"/>
      <c r="BH284" s="61"/>
      <c r="BI284" s="3"/>
      <c r="BJ284" s="61"/>
      <c r="BK284" s="3"/>
      <c r="BL284" s="61"/>
      <c r="BM284" s="3"/>
      <c r="BN284" s="61"/>
    </row>
    <row r="285" spans="49:66" ht="15.75">
      <c r="AW285" s="3"/>
      <c r="AY285" s="4"/>
      <c r="BA285" s="3"/>
      <c r="BC285" s="3"/>
      <c r="BD285" s="61"/>
      <c r="BE285" s="3"/>
      <c r="BF285" s="61"/>
      <c r="BG285" s="3"/>
      <c r="BH285" s="61"/>
      <c r="BI285" s="3"/>
      <c r="BJ285" s="61"/>
      <c r="BK285" s="3"/>
      <c r="BL285" s="61"/>
      <c r="BM285" s="3"/>
      <c r="BN285" s="61"/>
    </row>
    <row r="286" spans="49:66" ht="15.75">
      <c r="AW286" s="3"/>
      <c r="AY286" s="4"/>
      <c r="BA286" s="3"/>
      <c r="BC286" s="3"/>
      <c r="BD286" s="61"/>
      <c r="BE286" s="3"/>
      <c r="BF286" s="61"/>
      <c r="BG286" s="3"/>
      <c r="BH286" s="61"/>
      <c r="BI286" s="3"/>
      <c r="BJ286" s="61"/>
      <c r="BK286" s="3"/>
      <c r="BL286" s="61"/>
      <c r="BM286" s="3"/>
      <c r="BN286" s="61"/>
    </row>
    <row r="287" spans="49:66" ht="15.75">
      <c r="AW287" s="3"/>
      <c r="AY287" s="4"/>
      <c r="BA287" s="3"/>
      <c r="BC287" s="3"/>
      <c r="BD287" s="61"/>
      <c r="BE287" s="3"/>
      <c r="BF287" s="61"/>
      <c r="BG287" s="3"/>
      <c r="BH287" s="61"/>
      <c r="BI287" s="3"/>
      <c r="BJ287" s="61"/>
      <c r="BK287" s="3"/>
      <c r="BL287" s="61"/>
      <c r="BM287" s="3"/>
      <c r="BN287" s="61"/>
    </row>
    <row r="288" spans="49:66" ht="15.75">
      <c r="AW288" s="3"/>
      <c r="AY288" s="4"/>
      <c r="BA288" s="3"/>
      <c r="BC288" s="3"/>
      <c r="BD288" s="61"/>
      <c r="BE288" s="3"/>
      <c r="BF288" s="61"/>
      <c r="BG288" s="3"/>
      <c r="BH288" s="61"/>
      <c r="BI288" s="3"/>
      <c r="BJ288" s="61"/>
      <c r="BK288" s="3"/>
      <c r="BL288" s="61"/>
      <c r="BM288" s="3"/>
      <c r="BN288" s="61"/>
    </row>
    <row r="289" spans="49:66" ht="15.75">
      <c r="AW289" s="3"/>
      <c r="AY289" s="4"/>
      <c r="BA289" s="3"/>
      <c r="BC289" s="3"/>
      <c r="BD289" s="61"/>
      <c r="BE289" s="3"/>
      <c r="BF289" s="61"/>
      <c r="BG289" s="3"/>
      <c r="BH289" s="61"/>
      <c r="BI289" s="3"/>
      <c r="BJ289" s="61"/>
      <c r="BK289" s="3"/>
      <c r="BL289" s="61"/>
      <c r="BM289" s="3"/>
      <c r="BN289" s="61"/>
    </row>
    <row r="290" spans="49:66" ht="15.75">
      <c r="AW290" s="3"/>
      <c r="AY290" s="4"/>
      <c r="BA290" s="3"/>
      <c r="BC290" s="3"/>
      <c r="BD290" s="61"/>
      <c r="BE290" s="3"/>
      <c r="BF290" s="61"/>
      <c r="BG290" s="3"/>
      <c r="BH290" s="61"/>
      <c r="BI290" s="3"/>
      <c r="BJ290" s="61"/>
      <c r="BK290" s="3"/>
      <c r="BL290" s="61"/>
      <c r="BM290" s="3"/>
      <c r="BN290" s="61"/>
    </row>
    <row r="291" spans="49:66" ht="15.75">
      <c r="AW291" s="136"/>
      <c r="AY291" s="4"/>
      <c r="BA291" s="3"/>
      <c r="BC291" s="3"/>
      <c r="BD291" s="61"/>
      <c r="BE291" s="3"/>
      <c r="BF291" s="61"/>
      <c r="BG291" s="3"/>
      <c r="BH291" s="61"/>
      <c r="BI291" s="3"/>
      <c r="BJ291" s="61"/>
      <c r="BK291" s="3"/>
      <c r="BL291" s="61"/>
      <c r="BM291" s="3"/>
      <c r="BN291" s="61"/>
    </row>
    <row r="292" spans="49:66" ht="15.75">
      <c r="AW292" s="137"/>
      <c r="AX292" s="4"/>
      <c r="AY292" s="4"/>
      <c r="AZ292" s="4"/>
      <c r="BA292" s="4"/>
      <c r="BC292" s="4"/>
      <c r="BD292" s="61"/>
      <c r="BE292" s="3"/>
      <c r="BF292" s="61"/>
      <c r="BG292" s="3"/>
      <c r="BH292" s="61"/>
      <c r="BI292" s="3"/>
      <c r="BJ292" s="61"/>
      <c r="BK292" s="3"/>
      <c r="BL292" s="61"/>
      <c r="BM292" s="3"/>
      <c r="BN292" s="61"/>
    </row>
    <row r="293" spans="49:66" ht="15.75">
      <c r="AW293" s="3"/>
      <c r="AY293" s="4"/>
      <c r="BA293" s="3"/>
      <c r="BC293" s="3"/>
      <c r="BD293" s="61"/>
      <c r="BE293" s="3"/>
      <c r="BF293" s="61"/>
      <c r="BG293" s="3"/>
      <c r="BH293" s="61"/>
      <c r="BI293" s="3"/>
      <c r="BJ293" s="61"/>
      <c r="BK293" s="3"/>
      <c r="BL293" s="61"/>
      <c r="BM293" s="3"/>
      <c r="BN293" s="61"/>
    </row>
    <row r="294" spans="49:66" ht="15.75">
      <c r="AW294" s="3"/>
      <c r="AY294" s="4"/>
      <c r="BA294" s="3"/>
      <c r="BC294" s="3"/>
      <c r="BD294" s="61"/>
      <c r="BE294" s="3"/>
      <c r="BF294" s="61"/>
      <c r="BG294" s="3"/>
      <c r="BH294" s="61"/>
      <c r="BI294" s="3"/>
      <c r="BJ294" s="61"/>
      <c r="BK294" s="3"/>
      <c r="BL294" s="61"/>
      <c r="BM294" s="3"/>
      <c r="BN294" s="61"/>
    </row>
    <row r="295" spans="49:66" ht="15.75">
      <c r="AW295" s="3"/>
      <c r="AY295" s="4"/>
      <c r="BA295" s="3"/>
      <c r="BC295" s="3"/>
      <c r="BD295" s="61"/>
      <c r="BE295" s="3"/>
      <c r="BF295" s="61"/>
      <c r="BG295" s="3"/>
      <c r="BH295" s="61"/>
      <c r="BI295" s="3"/>
      <c r="BJ295" s="61"/>
      <c r="BK295" s="3"/>
      <c r="BL295" s="61"/>
      <c r="BM295" s="3"/>
      <c r="BN295" s="61"/>
    </row>
    <row r="296" spans="49:66" ht="15.75">
      <c r="AW296" s="3"/>
      <c r="AY296" s="4"/>
      <c r="BA296" s="3"/>
      <c r="BC296" s="3"/>
      <c r="BD296" s="61"/>
      <c r="BE296" s="3"/>
      <c r="BF296" s="61"/>
      <c r="BG296" s="3"/>
      <c r="BH296" s="61"/>
      <c r="BI296" s="3"/>
      <c r="BJ296" s="61"/>
      <c r="BK296" s="3"/>
      <c r="BL296" s="61"/>
      <c r="BM296" s="3"/>
      <c r="BN296" s="61"/>
    </row>
    <row r="297" spans="49:66" ht="15.75">
      <c r="AW297" s="4"/>
      <c r="AY297" s="4"/>
      <c r="BA297" s="3"/>
      <c r="BC297" s="3"/>
      <c r="BD297" s="61"/>
      <c r="BE297" s="3"/>
      <c r="BF297" s="61"/>
      <c r="BG297" s="3"/>
      <c r="BH297" s="61"/>
      <c r="BI297" s="3"/>
      <c r="BJ297" s="61"/>
      <c r="BK297" s="3"/>
      <c r="BL297" s="61"/>
      <c r="BM297" s="3"/>
      <c r="BN297" s="61"/>
    </row>
    <row r="298" spans="49:66" ht="15.75">
      <c r="AW298" s="3"/>
      <c r="AY298" s="4"/>
      <c r="BA298" s="3"/>
      <c r="BC298" s="3"/>
      <c r="BD298" s="61"/>
      <c r="BE298" s="3"/>
      <c r="BF298" s="61"/>
      <c r="BG298" s="3"/>
      <c r="BH298" s="61"/>
      <c r="BI298" s="3"/>
      <c r="BJ298" s="61"/>
      <c r="BK298" s="3"/>
      <c r="BL298" s="61"/>
      <c r="BM298" s="3"/>
      <c r="BN298" s="61"/>
    </row>
    <row r="299" spans="49:66" ht="15.75">
      <c r="AW299" s="3"/>
      <c r="AY299" s="4"/>
      <c r="BA299" s="3"/>
      <c r="BC299" s="3"/>
      <c r="BD299" s="61"/>
      <c r="BE299" s="3"/>
      <c r="BF299" s="61"/>
      <c r="BG299" s="3"/>
      <c r="BH299" s="61"/>
      <c r="BI299" s="3"/>
      <c r="BJ299" s="61"/>
      <c r="BK299" s="3"/>
      <c r="BL299" s="61"/>
      <c r="BM299" s="3"/>
      <c r="BN299" s="61"/>
    </row>
    <row r="300" spans="49:66" ht="15.75">
      <c r="AW300" s="136"/>
      <c r="AY300" s="4"/>
      <c r="BA300" s="3"/>
      <c r="BC300" s="3"/>
      <c r="BD300" s="61"/>
      <c r="BE300" s="3"/>
      <c r="BF300" s="61"/>
      <c r="BG300" s="3"/>
      <c r="BH300" s="61"/>
      <c r="BI300" s="3"/>
      <c r="BJ300" s="61"/>
      <c r="BK300" s="3"/>
      <c r="BL300" s="61"/>
      <c r="BM300" s="3"/>
      <c r="BN300" s="61"/>
    </row>
    <row r="301" spans="49:66" ht="15.75">
      <c r="AW301" s="137"/>
      <c r="AX301" s="4"/>
      <c r="AY301" s="4"/>
      <c r="AZ301" s="4"/>
      <c r="BA301" s="4"/>
      <c r="BC301" s="4"/>
      <c r="BD301" s="61"/>
      <c r="BE301" s="3"/>
      <c r="BF301" s="61"/>
      <c r="BG301" s="3"/>
      <c r="BH301" s="61"/>
      <c r="BI301" s="3"/>
      <c r="BJ301" s="61"/>
      <c r="BK301" s="3"/>
      <c r="BL301" s="61"/>
      <c r="BM301" s="3"/>
      <c r="BN301" s="61"/>
    </row>
    <row r="302" spans="49:66" ht="15.75">
      <c r="AW302" s="3"/>
      <c r="AY302" s="4"/>
      <c r="BA302" s="3"/>
      <c r="BC302" s="3"/>
      <c r="BD302" s="61"/>
      <c r="BE302" s="3"/>
      <c r="BF302" s="61"/>
      <c r="BG302" s="3"/>
      <c r="BH302" s="61"/>
      <c r="BI302" s="3"/>
      <c r="BJ302" s="61"/>
      <c r="BK302" s="3"/>
      <c r="BL302" s="61"/>
      <c r="BM302" s="3"/>
      <c r="BN302" s="61"/>
    </row>
    <row r="303" spans="49:66" ht="15.75">
      <c r="AW303" s="136"/>
      <c r="AY303" s="4"/>
      <c r="BA303" s="3"/>
      <c r="BC303" s="3"/>
      <c r="BD303" s="61"/>
      <c r="BE303" s="3"/>
      <c r="BF303" s="61"/>
      <c r="BG303" s="3"/>
      <c r="BH303" s="61"/>
      <c r="BI303" s="3"/>
      <c r="BJ303" s="61"/>
      <c r="BK303" s="3"/>
      <c r="BL303" s="61"/>
      <c r="BM303" s="3"/>
      <c r="BN303" s="61"/>
    </row>
    <row r="304" spans="49:66" ht="15.75">
      <c r="AW304" s="3"/>
      <c r="AY304" s="4"/>
      <c r="BA304" s="3"/>
      <c r="BC304" s="3"/>
      <c r="BD304" s="61"/>
      <c r="BE304" s="3"/>
      <c r="BF304" s="61"/>
      <c r="BG304" s="3"/>
      <c r="BH304" s="61"/>
      <c r="BI304" s="3"/>
      <c r="BJ304" s="61"/>
      <c r="BK304" s="3"/>
      <c r="BL304" s="61"/>
      <c r="BM304" s="3"/>
      <c r="BN304" s="61"/>
    </row>
    <row r="305" spans="49:66" ht="15.75">
      <c r="AW305" s="3"/>
      <c r="AY305" s="4"/>
      <c r="BA305" s="3"/>
      <c r="BC305" s="3"/>
      <c r="BD305" s="61"/>
      <c r="BE305" s="3"/>
      <c r="BF305" s="61"/>
      <c r="BG305" s="3"/>
      <c r="BH305" s="61"/>
      <c r="BI305" s="3"/>
      <c r="BJ305" s="61"/>
      <c r="BK305" s="3"/>
      <c r="BL305" s="61"/>
      <c r="BM305" s="3"/>
      <c r="BN305" s="61"/>
    </row>
    <row r="306" spans="49:66" ht="15.75">
      <c r="AW306" s="3"/>
      <c r="AY306" s="4"/>
      <c r="BA306" s="3"/>
      <c r="BC306" s="3"/>
      <c r="BD306" s="61"/>
      <c r="BE306" s="3"/>
      <c r="BF306" s="61"/>
      <c r="BG306" s="3"/>
      <c r="BH306" s="61"/>
      <c r="BI306" s="3"/>
      <c r="BJ306" s="61"/>
      <c r="BK306" s="3"/>
      <c r="BL306" s="61"/>
      <c r="BM306" s="3"/>
      <c r="BN306" s="61"/>
    </row>
    <row r="307" spans="49:66" ht="15.75">
      <c r="AW307" s="137"/>
      <c r="AX307" s="4"/>
      <c r="AZ307" s="4"/>
      <c r="BA307" s="4"/>
      <c r="BC307" s="4"/>
      <c r="BD307" s="61"/>
      <c r="BE307" s="3"/>
      <c r="BF307" s="61"/>
      <c r="BG307" s="3"/>
      <c r="BH307" s="61"/>
      <c r="BI307" s="3"/>
      <c r="BJ307" s="61"/>
      <c r="BK307" s="3"/>
      <c r="BL307" s="61"/>
      <c r="BM307" s="3"/>
      <c r="BN307" s="61"/>
    </row>
    <row r="308" spans="49:66" ht="16.5" thickBot="1">
      <c r="AW308" s="138"/>
      <c r="AX308" s="139"/>
      <c r="AY308" s="139"/>
      <c r="AZ308" s="139"/>
      <c r="BA308" s="139"/>
      <c r="BB308" s="108"/>
      <c r="BC308" s="139"/>
      <c r="BD308" s="61"/>
      <c r="BE308" s="3"/>
      <c r="BF308" s="61"/>
      <c r="BG308" s="3"/>
      <c r="BH308" s="61"/>
      <c r="BI308" s="3"/>
      <c r="BJ308" s="61"/>
      <c r="BK308" s="3"/>
      <c r="BL308" s="61"/>
      <c r="BM308" s="3"/>
      <c r="BN308" s="61"/>
    </row>
    <row r="309" spans="49:66" ht="16.5" thickBot="1">
      <c r="AW309" s="140"/>
      <c r="AX309" s="140"/>
      <c r="AY309" s="145"/>
      <c r="AZ309" s="140"/>
      <c r="BA309" s="140"/>
      <c r="BB309" s="108"/>
      <c r="BC309" s="140"/>
      <c r="BD309" s="61"/>
      <c r="BE309" s="3"/>
      <c r="BF309" s="61"/>
      <c r="BG309" s="3"/>
      <c r="BH309" s="61"/>
      <c r="BI309" s="3"/>
      <c r="BJ309" s="61"/>
      <c r="BK309" s="3"/>
      <c r="BL309" s="61"/>
      <c r="BM309" s="3"/>
      <c r="BN309" s="61"/>
    </row>
    <row r="310" spans="49:66" ht="15.75">
      <c r="AW310" s="3"/>
      <c r="AY310" s="4"/>
      <c r="BA310" s="3"/>
      <c r="BC310" s="3"/>
      <c r="BD310" s="61"/>
      <c r="BE310" s="3"/>
      <c r="BF310" s="61"/>
      <c r="BG310" s="3"/>
      <c r="BH310" s="61"/>
      <c r="BI310" s="3"/>
      <c r="BJ310" s="61"/>
      <c r="BK310" s="3"/>
      <c r="BL310" s="61"/>
      <c r="BM310" s="3"/>
      <c r="BN310" s="61"/>
    </row>
    <row r="311" spans="49:66" ht="15.75">
      <c r="AW311" s="3"/>
      <c r="AY311" s="4"/>
      <c r="BA311" s="3"/>
      <c r="BC311" s="3"/>
      <c r="BD311" s="61"/>
      <c r="BE311" s="3"/>
      <c r="BF311" s="61"/>
      <c r="BG311" s="3"/>
      <c r="BH311" s="61"/>
      <c r="BI311" s="3"/>
      <c r="BJ311" s="61"/>
      <c r="BK311" s="3"/>
      <c r="BL311" s="61"/>
      <c r="BM311" s="3"/>
      <c r="BN311" s="61"/>
    </row>
    <row r="312" spans="49:66" ht="15.75">
      <c r="AW312" s="3"/>
      <c r="AY312" s="4"/>
      <c r="BA312" s="3"/>
      <c r="BC312" s="3"/>
      <c r="BD312" s="61"/>
      <c r="BE312" s="3"/>
      <c r="BF312" s="61"/>
      <c r="BG312" s="3"/>
      <c r="BH312" s="61"/>
      <c r="BI312" s="3"/>
      <c r="BJ312" s="61"/>
      <c r="BK312" s="3"/>
      <c r="BL312" s="61"/>
      <c r="BM312" s="3"/>
      <c r="BN312" s="61"/>
    </row>
    <row r="313" spans="49:66" ht="15.75">
      <c r="AW313" s="137"/>
      <c r="AX313" s="4"/>
      <c r="AY313" s="4"/>
      <c r="AZ313" s="4"/>
      <c r="BA313" s="4"/>
      <c r="BC313" s="4"/>
      <c r="BD313" s="61"/>
      <c r="BE313" s="3"/>
      <c r="BF313" s="61"/>
      <c r="BG313" s="3"/>
      <c r="BH313" s="61"/>
      <c r="BI313" s="3"/>
      <c r="BJ313" s="61"/>
      <c r="BK313" s="3"/>
      <c r="BL313" s="61"/>
      <c r="BM313" s="3"/>
      <c r="BN313" s="61"/>
    </row>
    <row r="314" spans="49:66" ht="15.75">
      <c r="AW314" s="136"/>
      <c r="AY314" s="4"/>
      <c r="BA314" s="3"/>
      <c r="BC314" s="3"/>
      <c r="BD314" s="61"/>
      <c r="BE314" s="3"/>
      <c r="BF314" s="61"/>
      <c r="BG314" s="3"/>
      <c r="BH314" s="61"/>
      <c r="BI314" s="3"/>
      <c r="BJ314" s="61"/>
      <c r="BK314" s="3"/>
      <c r="BL314" s="61"/>
      <c r="BM314" s="3"/>
      <c r="BN314" s="61"/>
    </row>
    <row r="315" spans="49:66" ht="15.75">
      <c r="AW315" s="3"/>
      <c r="AY315" s="4"/>
      <c r="BA315" s="3"/>
      <c r="BC315" s="3"/>
      <c r="BD315" s="61"/>
      <c r="BE315" s="3"/>
      <c r="BF315" s="61"/>
      <c r="BG315" s="3"/>
      <c r="BH315" s="61"/>
      <c r="BI315" s="3"/>
      <c r="BJ315" s="61"/>
      <c r="BK315" s="3"/>
      <c r="BL315" s="61"/>
      <c r="BM315" s="3"/>
      <c r="BN315" s="61"/>
    </row>
    <row r="316" spans="49:66" ht="15.75">
      <c r="AW316" s="3"/>
      <c r="AY316" s="4"/>
      <c r="BA316" s="3"/>
      <c r="BC316" s="3"/>
      <c r="BD316" s="61"/>
      <c r="BE316" s="3"/>
      <c r="BF316" s="61"/>
      <c r="BG316" s="3"/>
      <c r="BH316" s="61"/>
      <c r="BI316" s="3"/>
      <c r="BJ316" s="61"/>
      <c r="BK316" s="3"/>
      <c r="BL316" s="61"/>
      <c r="BM316" s="3"/>
      <c r="BN316" s="61"/>
    </row>
    <row r="317" spans="49:66" ht="15.75">
      <c r="AW317" s="3"/>
      <c r="AY317" s="4"/>
      <c r="BA317" s="3"/>
      <c r="BC317" s="3"/>
      <c r="BD317" s="61"/>
      <c r="BE317" s="3"/>
      <c r="BF317" s="61"/>
      <c r="BG317" s="3"/>
      <c r="BH317" s="61"/>
      <c r="BI317" s="3"/>
      <c r="BJ317" s="61"/>
      <c r="BK317" s="3"/>
      <c r="BL317" s="61"/>
      <c r="BM317" s="3"/>
      <c r="BN317" s="61"/>
    </row>
    <row r="318" spans="49:66" ht="15.75">
      <c r="AW318" s="4"/>
      <c r="AY318" s="4"/>
      <c r="BA318" s="3"/>
      <c r="BC318" s="3"/>
      <c r="BD318" s="61"/>
      <c r="BE318" s="3"/>
      <c r="BF318" s="61"/>
      <c r="BG318" s="3"/>
      <c r="BH318" s="61"/>
      <c r="BI318" s="3"/>
      <c r="BJ318" s="61"/>
      <c r="BK318" s="3"/>
      <c r="BL318" s="61"/>
      <c r="BM318" s="3"/>
      <c r="BN318" s="61"/>
    </row>
    <row r="319" spans="49:66" ht="15.75">
      <c r="AW319" s="3"/>
      <c r="AY319" s="4"/>
      <c r="BA319" s="3"/>
      <c r="BC319" s="3"/>
      <c r="BD319" s="61"/>
      <c r="BE319" s="3"/>
      <c r="BF319" s="61"/>
      <c r="BG319" s="3"/>
      <c r="BH319" s="61"/>
      <c r="BI319" s="3"/>
      <c r="BJ319" s="61"/>
      <c r="BK319" s="3"/>
      <c r="BL319" s="61"/>
      <c r="BM319" s="3"/>
      <c r="BN319" s="61"/>
    </row>
    <row r="320" spans="49:66" ht="15.75">
      <c r="AW320" s="4"/>
      <c r="AY320" s="4"/>
      <c r="BA320" s="3"/>
      <c r="BC320" s="3"/>
      <c r="BD320" s="61"/>
      <c r="BE320" s="3"/>
      <c r="BF320" s="61"/>
      <c r="BG320" s="3"/>
      <c r="BH320" s="61"/>
      <c r="BI320" s="3"/>
      <c r="BJ320" s="61"/>
      <c r="BK320" s="3"/>
      <c r="BL320" s="61"/>
      <c r="BM320" s="3"/>
      <c r="BN320" s="61"/>
    </row>
    <row r="321" spans="49:66" ht="15.75">
      <c r="AW321" s="3"/>
      <c r="AY321" s="4"/>
      <c r="BA321" s="3"/>
      <c r="BC321" s="3"/>
      <c r="BD321" s="61"/>
      <c r="BE321" s="3"/>
      <c r="BF321" s="61"/>
      <c r="BG321" s="3"/>
      <c r="BH321" s="61"/>
      <c r="BI321" s="3"/>
      <c r="BJ321" s="61"/>
      <c r="BK321" s="3"/>
      <c r="BL321" s="61"/>
      <c r="BM321" s="3"/>
      <c r="BN321" s="61"/>
    </row>
    <row r="322" spans="49:66" ht="15.75">
      <c r="AW322" s="3"/>
      <c r="AY322" s="4"/>
      <c r="BA322" s="3"/>
      <c r="BC322" s="3"/>
      <c r="BD322" s="61"/>
      <c r="BE322" s="3"/>
      <c r="BF322" s="61"/>
      <c r="BG322" s="3"/>
      <c r="BH322" s="61"/>
      <c r="BI322" s="3"/>
      <c r="BJ322" s="61"/>
      <c r="BK322" s="3"/>
      <c r="BL322" s="61"/>
      <c r="BM322" s="3"/>
      <c r="BN322" s="61"/>
    </row>
    <row r="323" spans="49:66" ht="15.75">
      <c r="AW323" s="3"/>
      <c r="AY323" s="4"/>
      <c r="BA323" s="3"/>
      <c r="BC323" s="3"/>
      <c r="BD323" s="61"/>
      <c r="BE323" s="3"/>
      <c r="BF323" s="61"/>
      <c r="BG323" s="3"/>
      <c r="BH323" s="61"/>
      <c r="BI323" s="3"/>
      <c r="BJ323" s="61"/>
      <c r="BK323" s="3"/>
      <c r="BL323" s="61"/>
      <c r="BM323" s="3"/>
      <c r="BN323" s="61"/>
    </row>
    <row r="324" spans="49:66" ht="15.75">
      <c r="AW324" s="137"/>
      <c r="AX324" s="4"/>
      <c r="AY324" s="4"/>
      <c r="AZ324" s="4"/>
      <c r="BA324" s="4"/>
      <c r="BC324" s="4"/>
      <c r="BD324" s="61"/>
      <c r="BE324" s="3"/>
      <c r="BF324" s="61"/>
      <c r="BG324" s="3"/>
      <c r="BH324" s="61"/>
      <c r="BI324" s="3"/>
      <c r="BJ324" s="61"/>
      <c r="BK324" s="3"/>
      <c r="BL324" s="61"/>
      <c r="BM324" s="3"/>
      <c r="BN324" s="61"/>
    </row>
    <row r="325" spans="49:66" ht="15.75">
      <c r="AW325" s="3"/>
      <c r="AY325" s="4"/>
      <c r="BA325" s="3"/>
      <c r="BC325" s="3"/>
      <c r="BD325" s="61"/>
      <c r="BE325" s="3"/>
      <c r="BF325" s="61"/>
      <c r="BG325" s="3"/>
      <c r="BH325" s="61"/>
      <c r="BI325" s="3"/>
      <c r="BJ325" s="61"/>
      <c r="BK325" s="3"/>
      <c r="BL325" s="61"/>
      <c r="BM325" s="3"/>
      <c r="BN325" s="61"/>
    </row>
    <row r="326" spans="49:66" ht="15.75">
      <c r="AW326" s="3"/>
      <c r="AY326" s="4"/>
      <c r="BA326" s="3"/>
      <c r="BC326" s="3"/>
      <c r="BD326" s="61"/>
      <c r="BE326" s="3"/>
      <c r="BF326" s="61"/>
      <c r="BG326" s="3"/>
      <c r="BH326" s="61"/>
      <c r="BI326" s="3"/>
      <c r="BJ326" s="61"/>
      <c r="BK326" s="3"/>
      <c r="BL326" s="61"/>
      <c r="BM326" s="3"/>
      <c r="BN326" s="61"/>
    </row>
    <row r="327" spans="49:66" ht="15.75">
      <c r="AW327" s="3"/>
      <c r="AY327" s="4"/>
      <c r="BA327" s="3"/>
      <c r="BC327" s="3"/>
      <c r="BD327" s="61"/>
      <c r="BE327" s="3"/>
      <c r="BF327" s="61"/>
      <c r="BG327" s="3"/>
      <c r="BH327" s="61"/>
      <c r="BI327" s="3"/>
      <c r="BJ327" s="61"/>
      <c r="BK327" s="3"/>
      <c r="BL327" s="61"/>
      <c r="BM327" s="3"/>
      <c r="BN327" s="61"/>
    </row>
    <row r="328" spans="49:66" ht="15.75">
      <c r="AW328" s="3"/>
      <c r="AY328" s="4"/>
      <c r="BA328" s="3"/>
      <c r="BC328" s="3"/>
      <c r="BD328" s="61"/>
      <c r="BE328" s="3"/>
      <c r="BF328" s="61"/>
      <c r="BG328" s="3"/>
      <c r="BH328" s="61"/>
      <c r="BI328" s="3"/>
      <c r="BJ328" s="61"/>
      <c r="BK328" s="3"/>
      <c r="BL328" s="61"/>
      <c r="BM328" s="3"/>
      <c r="BN328" s="61"/>
    </row>
    <row r="329" spans="49:66" ht="15.75">
      <c r="AW329" s="3"/>
      <c r="AY329" s="4"/>
      <c r="BA329" s="3"/>
      <c r="BC329" s="3"/>
      <c r="BD329" s="61"/>
      <c r="BE329" s="3"/>
      <c r="BF329" s="61"/>
      <c r="BG329" s="3"/>
      <c r="BH329" s="61"/>
      <c r="BI329" s="3"/>
      <c r="BJ329" s="61"/>
      <c r="BK329" s="3"/>
      <c r="BL329" s="61"/>
      <c r="BM329" s="3"/>
      <c r="BN329" s="61"/>
    </row>
    <row r="330" spans="49:66" ht="15.75">
      <c r="AW330" s="3"/>
      <c r="AY330" s="4"/>
      <c r="BA330" s="3"/>
      <c r="BC330" s="3"/>
      <c r="BD330" s="61"/>
      <c r="BE330" s="3"/>
      <c r="BF330" s="61"/>
      <c r="BG330" s="3"/>
      <c r="BH330" s="61"/>
      <c r="BI330" s="3"/>
      <c r="BJ330" s="61"/>
      <c r="BK330" s="3"/>
      <c r="BL330" s="61"/>
      <c r="BM330" s="3"/>
      <c r="BN330" s="61"/>
    </row>
    <row r="331" spans="49:66" ht="15.75">
      <c r="AW331" s="3"/>
      <c r="AY331" s="4"/>
      <c r="BA331" s="3"/>
      <c r="BC331" s="3"/>
      <c r="BD331" s="61"/>
      <c r="BE331" s="3"/>
      <c r="BF331" s="61"/>
      <c r="BG331" s="3"/>
      <c r="BH331" s="61"/>
      <c r="BI331" s="3"/>
      <c r="BJ331" s="61"/>
      <c r="BK331" s="3"/>
      <c r="BL331" s="61"/>
      <c r="BM331" s="3"/>
      <c r="BN331" s="61"/>
    </row>
    <row r="332" spans="49:66" ht="15.75">
      <c r="AW332" s="137"/>
      <c r="AX332" s="4"/>
      <c r="AY332" s="4"/>
      <c r="AZ332" s="4"/>
      <c r="BA332" s="4"/>
      <c r="BC332" s="4"/>
      <c r="BD332" s="61"/>
      <c r="BE332" s="3"/>
      <c r="BF332" s="61"/>
      <c r="BG332" s="3"/>
      <c r="BH332" s="61"/>
      <c r="BI332" s="3"/>
      <c r="BJ332" s="61"/>
      <c r="BK332" s="3"/>
      <c r="BL332" s="61"/>
      <c r="BM332" s="3"/>
      <c r="BN332" s="61"/>
    </row>
    <row r="333" spans="49:66" ht="15.75">
      <c r="AW333" s="3"/>
      <c r="AY333" s="4"/>
      <c r="BA333" s="3"/>
      <c r="BC333" s="3"/>
      <c r="BD333" s="61"/>
      <c r="BE333" s="3"/>
      <c r="BF333" s="61"/>
      <c r="BG333" s="3"/>
      <c r="BH333" s="61"/>
      <c r="BI333" s="3"/>
      <c r="BJ333" s="61"/>
      <c r="BK333" s="3"/>
      <c r="BL333" s="61"/>
      <c r="BM333" s="3"/>
      <c r="BN333" s="61"/>
    </row>
    <row r="334" spans="49:66" ht="15.75">
      <c r="AW334" s="3"/>
      <c r="AY334" s="4"/>
      <c r="BA334" s="3"/>
      <c r="BC334" s="3"/>
      <c r="BD334" s="61"/>
      <c r="BE334" s="3"/>
      <c r="BF334" s="61"/>
      <c r="BG334" s="3"/>
      <c r="BH334" s="61"/>
      <c r="BI334" s="3"/>
      <c r="BJ334" s="61"/>
      <c r="BK334" s="3"/>
      <c r="BL334" s="61"/>
      <c r="BM334" s="3"/>
      <c r="BN334" s="61"/>
    </row>
    <row r="335" spans="49:66" ht="15.75">
      <c r="AW335" s="3"/>
      <c r="AY335" s="4"/>
      <c r="BA335" s="3"/>
      <c r="BC335" s="3"/>
      <c r="BD335" s="61"/>
      <c r="BE335" s="3"/>
      <c r="BF335" s="61"/>
      <c r="BG335" s="3"/>
      <c r="BH335" s="61"/>
      <c r="BI335" s="3"/>
      <c r="BJ335" s="61"/>
      <c r="BK335" s="3"/>
      <c r="BL335" s="61"/>
      <c r="BM335" s="3"/>
      <c r="BN335" s="61"/>
    </row>
    <row r="336" spans="49:66" ht="15.75">
      <c r="AW336" s="3"/>
      <c r="AY336" s="4"/>
      <c r="BA336" s="3"/>
      <c r="BC336" s="3"/>
      <c r="BD336" s="61"/>
      <c r="BE336" s="3"/>
      <c r="BF336" s="61"/>
      <c r="BG336" s="3"/>
      <c r="BH336" s="61"/>
      <c r="BI336" s="3"/>
      <c r="BJ336" s="61"/>
      <c r="BK336" s="3"/>
      <c r="BL336" s="61"/>
      <c r="BM336" s="3"/>
      <c r="BN336" s="61"/>
    </row>
    <row r="337" spans="49:66" ht="15.75">
      <c r="AW337" s="3"/>
      <c r="AY337" s="4"/>
      <c r="BA337" s="3"/>
      <c r="BC337" s="3"/>
      <c r="BD337" s="61"/>
      <c r="BE337" s="3"/>
      <c r="BF337" s="61"/>
      <c r="BG337" s="3"/>
      <c r="BH337" s="61"/>
      <c r="BI337" s="3"/>
      <c r="BJ337" s="61"/>
      <c r="BK337" s="3"/>
      <c r="BL337" s="61"/>
      <c r="BM337" s="3"/>
      <c r="BN337" s="61"/>
    </row>
    <row r="338" spans="49:66" ht="15.75">
      <c r="AW338" s="137"/>
      <c r="AX338" s="4"/>
      <c r="AZ338" s="4"/>
      <c r="BA338" s="4"/>
      <c r="BC338" s="4"/>
      <c r="BD338" s="61"/>
      <c r="BE338" s="3"/>
      <c r="BF338" s="61"/>
      <c r="BG338" s="3"/>
      <c r="BH338" s="61"/>
      <c r="BI338" s="3"/>
      <c r="BJ338" s="61"/>
      <c r="BK338" s="3"/>
      <c r="BL338" s="61"/>
      <c r="BM338" s="3"/>
      <c r="BN338" s="61"/>
    </row>
    <row r="339" spans="49:66" ht="16.5" thickBot="1">
      <c r="AW339" s="138"/>
      <c r="AX339" s="139"/>
      <c r="AY339" s="139"/>
      <c r="AZ339" s="139"/>
      <c r="BA339" s="139"/>
      <c r="BB339" s="108"/>
      <c r="BC339" s="139"/>
      <c r="BD339" s="61"/>
      <c r="BE339" s="3"/>
      <c r="BF339" s="61"/>
      <c r="BG339" s="3"/>
      <c r="BH339" s="61"/>
      <c r="BI339" s="3"/>
      <c r="BJ339" s="61"/>
      <c r="BK339" s="3"/>
      <c r="BL339" s="61"/>
      <c r="BM339" s="3"/>
      <c r="BN339" s="61"/>
    </row>
    <row r="340" spans="49:66" ht="16.5" thickBot="1">
      <c r="AW340" s="140"/>
      <c r="AX340" s="108"/>
      <c r="AY340" s="139"/>
      <c r="AZ340" s="108"/>
      <c r="BA340" s="108"/>
      <c r="BB340" s="108"/>
      <c r="BC340" s="108"/>
      <c r="BD340" s="61"/>
      <c r="BE340" s="3"/>
      <c r="BF340" s="61"/>
      <c r="BG340" s="3"/>
      <c r="BH340" s="61"/>
      <c r="BI340" s="3"/>
      <c r="BJ340" s="61"/>
      <c r="BK340" s="3"/>
      <c r="BL340" s="61"/>
      <c r="BM340" s="3"/>
      <c r="BN340" s="61"/>
    </row>
    <row r="341" spans="49:66" ht="15.75">
      <c r="AW341" s="3"/>
      <c r="AY341" s="4"/>
      <c r="BA341" s="3"/>
      <c r="BC341" s="3"/>
      <c r="BD341" s="61"/>
      <c r="BE341" s="3"/>
      <c r="BF341" s="61"/>
      <c r="BG341" s="3"/>
      <c r="BH341" s="61"/>
      <c r="BI341" s="3"/>
      <c r="BJ341" s="61"/>
      <c r="BK341" s="3"/>
      <c r="BL341" s="61"/>
      <c r="BM341" s="3"/>
      <c r="BN341" s="61"/>
    </row>
    <row r="342" spans="49:66" ht="15.75">
      <c r="AW342" s="3"/>
      <c r="AY342" s="4"/>
      <c r="BA342" s="3"/>
      <c r="BC342" s="3"/>
      <c r="BD342" s="61"/>
      <c r="BE342" s="3"/>
      <c r="BF342" s="61"/>
      <c r="BG342" s="3"/>
      <c r="BH342" s="61"/>
      <c r="BI342" s="3"/>
      <c r="BJ342" s="61"/>
      <c r="BK342" s="3"/>
      <c r="BL342" s="61"/>
      <c r="BM342" s="3"/>
      <c r="BN342" s="61"/>
    </row>
    <row r="343" spans="49:66" ht="15.75">
      <c r="AW343" s="3"/>
      <c r="AY343" s="4"/>
      <c r="BA343" s="3"/>
      <c r="BC343" s="3"/>
      <c r="BD343" s="61"/>
      <c r="BE343" s="3"/>
      <c r="BF343" s="61"/>
      <c r="BG343" s="3"/>
      <c r="BH343" s="61"/>
      <c r="BI343" s="3"/>
      <c r="BJ343" s="61"/>
      <c r="BK343" s="3"/>
      <c r="BL343" s="61"/>
      <c r="BM343" s="3"/>
      <c r="BN343" s="61"/>
    </row>
    <row r="344" spans="49:66" ht="15.75">
      <c r="AW344" s="137"/>
      <c r="AX344" s="4"/>
      <c r="AY344" s="4"/>
      <c r="AZ344" s="4"/>
      <c r="BA344" s="4"/>
      <c r="BC344" s="4"/>
      <c r="BD344" s="61"/>
      <c r="BE344" s="3"/>
      <c r="BF344" s="61"/>
      <c r="BG344" s="3"/>
      <c r="BH344" s="61"/>
      <c r="BI344" s="3"/>
      <c r="BJ344" s="61"/>
      <c r="BK344" s="3"/>
      <c r="BL344" s="61"/>
      <c r="BM344" s="3"/>
      <c r="BN344" s="61"/>
    </row>
    <row r="345" spans="49:66" ht="15.75">
      <c r="AW345" s="3"/>
      <c r="AY345" s="4"/>
      <c r="BA345" s="3"/>
      <c r="BC345" s="3"/>
      <c r="BD345" s="61"/>
      <c r="BE345" s="3"/>
      <c r="BF345" s="61"/>
      <c r="BG345" s="3"/>
      <c r="BH345" s="61"/>
      <c r="BI345" s="3"/>
      <c r="BJ345" s="61"/>
      <c r="BK345" s="3"/>
      <c r="BL345" s="61"/>
      <c r="BM345" s="3"/>
      <c r="BN345" s="61"/>
    </row>
    <row r="346" spans="49:66" ht="15.75">
      <c r="AW346" s="3"/>
      <c r="AY346" s="4"/>
      <c r="BA346" s="3"/>
      <c r="BC346" s="3"/>
      <c r="BD346" s="61"/>
      <c r="BE346" s="3"/>
      <c r="BF346" s="61"/>
      <c r="BG346" s="3"/>
      <c r="BH346" s="61"/>
      <c r="BI346" s="3"/>
      <c r="BJ346" s="61"/>
      <c r="BK346" s="3"/>
      <c r="BL346" s="61"/>
      <c r="BM346" s="3"/>
      <c r="BN346" s="61"/>
    </row>
    <row r="347" spans="49:66" ht="15.75">
      <c r="AW347" s="3"/>
      <c r="AY347" s="4"/>
      <c r="BA347" s="3"/>
      <c r="BC347" s="3"/>
      <c r="BD347" s="61"/>
      <c r="BE347" s="3"/>
      <c r="BF347" s="61"/>
      <c r="BG347" s="3"/>
      <c r="BH347" s="61"/>
      <c r="BI347" s="3"/>
      <c r="BJ347" s="61"/>
      <c r="BK347" s="3"/>
      <c r="BL347" s="61"/>
      <c r="BM347" s="3"/>
      <c r="BN347" s="61"/>
    </row>
    <row r="348" spans="49:66" ht="15.75">
      <c r="AW348" s="3"/>
      <c r="AY348" s="4"/>
      <c r="BA348" s="3"/>
      <c r="BC348" s="3"/>
      <c r="BD348" s="61"/>
      <c r="BE348" s="3"/>
      <c r="BF348" s="61"/>
      <c r="BG348" s="3"/>
      <c r="BH348" s="61"/>
      <c r="BI348" s="3"/>
      <c r="BJ348" s="61"/>
      <c r="BK348" s="3"/>
      <c r="BL348" s="61"/>
      <c r="BM348" s="3"/>
      <c r="BN348" s="61"/>
    </row>
    <row r="349" spans="49:66" ht="15.75">
      <c r="AW349" s="3"/>
      <c r="AY349" s="4"/>
      <c r="BA349" s="3"/>
      <c r="BC349" s="3"/>
      <c r="BD349" s="61"/>
      <c r="BE349" s="3"/>
      <c r="BF349" s="61"/>
      <c r="BG349" s="3"/>
      <c r="BH349" s="61"/>
      <c r="BI349" s="3"/>
      <c r="BJ349" s="61"/>
      <c r="BK349" s="3"/>
      <c r="BL349" s="61"/>
      <c r="BM349" s="3"/>
      <c r="BN349" s="61"/>
    </row>
    <row r="350" spans="49:66" ht="15.75">
      <c r="AW350" s="4"/>
      <c r="AY350" s="4"/>
      <c r="BA350" s="3"/>
      <c r="BC350" s="3"/>
      <c r="BD350" s="61"/>
      <c r="BE350" s="3"/>
      <c r="BF350" s="61"/>
      <c r="BG350" s="3"/>
      <c r="BH350" s="61"/>
      <c r="BI350" s="3"/>
      <c r="BJ350" s="61"/>
      <c r="BK350" s="3"/>
      <c r="BL350" s="61"/>
      <c r="BM350" s="3"/>
      <c r="BN350" s="61"/>
    </row>
    <row r="351" spans="49:66" ht="15.75">
      <c r="AW351" s="3"/>
      <c r="AY351" s="4"/>
      <c r="BA351" s="3"/>
      <c r="BC351" s="3"/>
      <c r="BD351" s="61"/>
      <c r="BE351" s="3"/>
      <c r="BF351" s="61"/>
      <c r="BG351" s="3"/>
      <c r="BH351" s="61"/>
      <c r="BI351" s="3"/>
      <c r="BJ351" s="61"/>
      <c r="BK351" s="3"/>
      <c r="BL351" s="61"/>
      <c r="BM351" s="3"/>
      <c r="BN351" s="61"/>
    </row>
    <row r="352" spans="49:66" ht="15.75">
      <c r="AW352" s="146"/>
      <c r="AY352" s="4"/>
      <c r="BA352" s="3"/>
      <c r="BC352" s="3"/>
      <c r="BD352" s="61"/>
      <c r="BE352" s="3"/>
      <c r="BF352" s="61"/>
      <c r="BG352" s="3"/>
      <c r="BH352" s="61"/>
      <c r="BI352" s="3"/>
      <c r="BJ352" s="61"/>
      <c r="BK352" s="3"/>
      <c r="BL352" s="61"/>
      <c r="BM352" s="3"/>
      <c r="BN352" s="61"/>
    </row>
    <row r="353" spans="49:66" ht="15.75">
      <c r="AW353" s="3"/>
      <c r="AY353" s="4"/>
      <c r="BA353" s="3"/>
      <c r="BC353" s="3"/>
      <c r="BD353" s="61"/>
      <c r="BE353" s="3"/>
      <c r="BF353" s="61"/>
      <c r="BG353" s="3"/>
      <c r="BH353" s="61"/>
      <c r="BI353" s="3"/>
      <c r="BJ353" s="61"/>
      <c r="BK353" s="3"/>
      <c r="BL353" s="61"/>
      <c r="BM353" s="3"/>
      <c r="BN353" s="61"/>
    </row>
    <row r="354" spans="49:66" ht="15.75">
      <c r="AW354" s="3"/>
      <c r="AY354" s="4"/>
      <c r="BA354" s="3"/>
      <c r="BC354" s="3"/>
      <c r="BD354" s="61"/>
      <c r="BE354" s="3"/>
      <c r="BF354" s="61"/>
      <c r="BG354" s="3"/>
      <c r="BH354" s="61"/>
      <c r="BI354" s="3"/>
      <c r="BJ354" s="61"/>
      <c r="BK354" s="3"/>
      <c r="BL354" s="61"/>
      <c r="BM354" s="3"/>
      <c r="BN354" s="61"/>
    </row>
    <row r="355" spans="49:66" ht="15.75">
      <c r="AW355" s="137"/>
      <c r="AX355" s="4"/>
      <c r="AY355" s="4"/>
      <c r="AZ355" s="4"/>
      <c r="BA355" s="4"/>
      <c r="BC355" s="4"/>
      <c r="BD355" s="61"/>
      <c r="BE355" s="3"/>
      <c r="BF355" s="61"/>
      <c r="BG355" s="3"/>
      <c r="BH355" s="61"/>
      <c r="BI355" s="3"/>
      <c r="BJ355" s="61"/>
      <c r="BK355" s="3"/>
      <c r="BL355" s="61"/>
      <c r="BM355" s="3"/>
      <c r="BN355" s="61"/>
    </row>
    <row r="356" spans="49:66" ht="15.75">
      <c r="AW356" s="3"/>
      <c r="AY356" s="4"/>
      <c r="BA356" s="3"/>
      <c r="BC356" s="3"/>
      <c r="BD356" s="61"/>
      <c r="BE356" s="3"/>
      <c r="BF356" s="61"/>
      <c r="BG356" s="3"/>
      <c r="BH356" s="61"/>
      <c r="BI356" s="3"/>
      <c r="BJ356" s="61"/>
      <c r="BK356" s="3"/>
      <c r="BL356" s="61"/>
      <c r="BM356" s="3"/>
      <c r="BN356" s="61"/>
    </row>
    <row r="357" spans="49:66" ht="15.75">
      <c r="AW357" s="136"/>
      <c r="AY357" s="4"/>
      <c r="BA357" s="3"/>
      <c r="BC357" s="3"/>
      <c r="BD357" s="61"/>
      <c r="BE357" s="3"/>
      <c r="BF357" s="61"/>
      <c r="BG357" s="3"/>
      <c r="BH357" s="61"/>
      <c r="BI357" s="3"/>
      <c r="BJ357" s="61"/>
      <c r="BK357" s="3"/>
      <c r="BL357" s="61"/>
      <c r="BM357" s="3"/>
      <c r="BN357" s="61"/>
    </row>
    <row r="358" spans="49:66" ht="15.75">
      <c r="AW358" s="3"/>
      <c r="AY358" s="4"/>
      <c r="BA358" s="3"/>
      <c r="BC358" s="3"/>
      <c r="BD358" s="61"/>
      <c r="BE358" s="3"/>
      <c r="BF358" s="61"/>
      <c r="BG358" s="3"/>
      <c r="BH358" s="61"/>
      <c r="BI358" s="3"/>
      <c r="BJ358" s="61"/>
      <c r="BK358" s="3"/>
      <c r="BL358" s="61"/>
      <c r="BM358" s="3"/>
      <c r="BN358" s="61"/>
    </row>
    <row r="359" spans="49:66" ht="15.75">
      <c r="AW359" s="3"/>
      <c r="AY359" s="4"/>
      <c r="BA359" s="3"/>
      <c r="BC359" s="3"/>
      <c r="BD359" s="61"/>
      <c r="BE359" s="3"/>
      <c r="BF359" s="61"/>
      <c r="BG359" s="3"/>
      <c r="BH359" s="61"/>
      <c r="BI359" s="3"/>
      <c r="BJ359" s="61"/>
      <c r="BK359" s="3"/>
      <c r="BL359" s="61"/>
      <c r="BM359" s="3"/>
      <c r="BN359" s="61"/>
    </row>
    <row r="360" spans="49:66" ht="15.75">
      <c r="AW360" s="3"/>
      <c r="AY360" s="4"/>
      <c r="BA360" s="3"/>
      <c r="BC360" s="3"/>
      <c r="BD360" s="61"/>
      <c r="BE360" s="3"/>
      <c r="BF360" s="61"/>
      <c r="BG360" s="3"/>
      <c r="BH360" s="61"/>
      <c r="BI360" s="3"/>
      <c r="BJ360" s="61"/>
      <c r="BK360" s="3"/>
      <c r="BL360" s="61"/>
      <c r="BM360" s="3"/>
      <c r="BN360" s="61"/>
    </row>
    <row r="361" spans="49:66" ht="15.75">
      <c r="AW361" s="4"/>
      <c r="AY361" s="4"/>
      <c r="BA361" s="3"/>
      <c r="BC361" s="3"/>
      <c r="BD361" s="61"/>
      <c r="BE361" s="3"/>
      <c r="BF361" s="61"/>
      <c r="BG361" s="3"/>
      <c r="BH361" s="61"/>
      <c r="BI361" s="3"/>
      <c r="BJ361" s="61"/>
      <c r="BK361" s="3"/>
      <c r="BL361" s="61"/>
      <c r="BM361" s="3"/>
      <c r="BN361" s="61"/>
    </row>
    <row r="362" spans="49:66" ht="15.75">
      <c r="AW362" s="3"/>
      <c r="AY362" s="4"/>
      <c r="BA362" s="3"/>
      <c r="BC362" s="3"/>
      <c r="BD362" s="61"/>
      <c r="BE362" s="3"/>
      <c r="BF362" s="61"/>
      <c r="BG362" s="3"/>
      <c r="BH362" s="61"/>
      <c r="BI362" s="3"/>
      <c r="BJ362" s="61"/>
      <c r="BK362" s="3"/>
      <c r="BL362" s="61"/>
      <c r="BM362" s="3"/>
      <c r="BN362" s="61"/>
    </row>
    <row r="363" spans="46:49" ht="15.75">
      <c r="AT363" s="136"/>
      <c r="AV363" s="4"/>
      <c r="AW363" s="3"/>
    </row>
    <row r="364" spans="46:52" ht="15.75">
      <c r="AT364" s="137"/>
      <c r="AU364" s="4"/>
      <c r="AV364" s="4"/>
      <c r="AW364" s="4"/>
      <c r="AX364" s="4"/>
      <c r="AZ364" s="4"/>
    </row>
    <row r="365" spans="46:49" ht="15.75">
      <c r="AT365" s="146"/>
      <c r="AV365" s="4"/>
      <c r="AW365" s="3"/>
    </row>
    <row r="366" spans="48:49" ht="15.75">
      <c r="AV366" s="4"/>
      <c r="AW366" s="3"/>
    </row>
    <row r="367" spans="46:49" ht="15.75">
      <c r="AT367" s="136"/>
      <c r="AV367" s="4"/>
      <c r="AW367" s="3"/>
    </row>
    <row r="368" spans="48:49" ht="15.75">
      <c r="AV368" s="4"/>
      <c r="AW368" s="3"/>
    </row>
    <row r="369" spans="48:49" ht="15.75">
      <c r="AV369" s="4"/>
      <c r="AW369" s="3"/>
    </row>
    <row r="370" spans="48:49" ht="15.75">
      <c r="AV370" s="4"/>
      <c r="AW370" s="3"/>
    </row>
    <row r="371" spans="46:49" ht="15.75">
      <c r="AT371" s="4"/>
      <c r="AV371" s="4"/>
      <c r="AW371" s="3"/>
    </row>
    <row r="372" spans="46:52" ht="15.75">
      <c r="AT372" s="137"/>
      <c r="AU372" s="4"/>
      <c r="AW372" s="4"/>
      <c r="AX372" s="4"/>
      <c r="AZ372" s="4"/>
    </row>
    <row r="373" spans="49:52" ht="15.75">
      <c r="AW373" s="4"/>
      <c r="AX373" s="4"/>
      <c r="AZ373" s="4"/>
    </row>
    <row r="374" spans="49:52" ht="15.75">
      <c r="AW374" s="4"/>
      <c r="AX374" s="4"/>
      <c r="AZ374" s="4"/>
    </row>
  </sheetData>
  <sheetProtection password="CEB9" sheet="1" objects="1" scenarios="1"/>
  <mergeCells count="19">
    <mergeCell ref="R23:S23"/>
    <mergeCell ref="T23:U23"/>
    <mergeCell ref="R24:S24"/>
    <mergeCell ref="T24:U24"/>
    <mergeCell ref="R25:S25"/>
    <mergeCell ref="T25:U25"/>
    <mergeCell ref="R26:S26"/>
    <mergeCell ref="T26:U26"/>
    <mergeCell ref="X26:AA26"/>
    <mergeCell ref="R27:S27"/>
    <mergeCell ref="T27:U27"/>
    <mergeCell ref="R28:S28"/>
    <mergeCell ref="T28:U28"/>
    <mergeCell ref="X30:AA30"/>
    <mergeCell ref="AB40:AD40"/>
    <mergeCell ref="R29:S29"/>
    <mergeCell ref="T29:U29"/>
    <mergeCell ref="R30:S30"/>
    <mergeCell ref="T30:U30"/>
  </mergeCells>
  <conditionalFormatting sqref="AD74:AD81">
    <cfRule type="cellIs" priority="1" dxfId="0" operator="greaterThan" stopIfTrue="1">
      <formula>$AF74</formula>
    </cfRule>
    <cfRule type="cellIs" priority="2" dxfId="1" operator="lessThan" stopIfTrue="1">
      <formula>$AG74</formula>
    </cfRule>
  </conditionalFormatting>
  <conditionalFormatting sqref="AQ74:AQ81">
    <cfRule type="cellIs" priority="3" dxfId="0" operator="greaterThanOrEqual" stopIfTrue="1">
      <formula>$AS74</formula>
    </cfRule>
  </conditionalFormatting>
  <conditionalFormatting sqref="BB74:BB81">
    <cfRule type="cellIs" priority="4" dxfId="0" operator="greaterThan" stopIfTrue="1">
      <formula>$BD74</formula>
    </cfRule>
  </conditionalFormatting>
  <conditionalFormatting sqref="N74:N81">
    <cfRule type="cellIs" priority="5" dxfId="0" operator="greaterThan" stopIfTrue="1">
      <formula>$R74</formula>
    </cfRule>
    <cfRule type="cellIs" priority="6" dxfId="1" operator="lessThan" stopIfTrue="1">
      <formula>$Q74</formula>
    </cfRule>
  </conditionalFormatting>
  <conditionalFormatting sqref="AX74:AX81">
    <cfRule type="cellIs" priority="7" dxfId="0" operator="greaterThan" stopIfTrue="1">
      <formula>$AZ74</formula>
    </cfRule>
    <cfRule type="cellIs" priority="8" dxfId="1" operator="lessThan" stopIfTrue="1">
      <formula>$BA74</formula>
    </cfRule>
  </conditionalFormatting>
  <conditionalFormatting sqref="C74:C81">
    <cfRule type="cellIs" priority="9" dxfId="0" operator="greaterThan" stopIfTrue="1">
      <formula>$G74</formula>
    </cfRule>
  </conditionalFormatting>
  <conditionalFormatting sqref="E74:E81">
    <cfRule type="cellIs" priority="10" dxfId="0" operator="greaterThan" stopIfTrue="1">
      <formula>$H74</formula>
    </cfRule>
  </conditionalFormatting>
  <conditionalFormatting sqref="Z74:Z81">
    <cfRule type="cellIs" priority="11" dxfId="0" operator="greaterThan" stopIfTrue="1">
      <formula>$AB74</formula>
    </cfRule>
    <cfRule type="cellIs" priority="12" dxfId="1" operator="lessThan" stopIfTrue="1">
      <formula>$AC74</formula>
    </cfRule>
  </conditionalFormatting>
  <conditionalFormatting sqref="M74:M81">
    <cfRule type="cellIs" priority="13" dxfId="0" operator="greaterThan" stopIfTrue="1">
      <formula>$P74</formula>
    </cfRule>
    <cfRule type="cellIs" priority="14" dxfId="1" operator="lessThan" stopIfTrue="1">
      <formula>$O74</formula>
    </cfRule>
  </conditionalFormatting>
  <conditionalFormatting sqref="B4:AB4">
    <cfRule type="cellIs" priority="15" dxfId="2" operator="greaterThanOrEqual" stopIfTrue="1">
      <formula>67</formula>
    </cfRule>
    <cfRule type="cellIs" priority="16" dxfId="0" operator="lessThanOrEqual" stopIfTrue="1">
      <formula>23</formula>
    </cfRule>
  </conditionalFormatting>
  <conditionalFormatting sqref="B5:AB5">
    <cfRule type="cellIs" priority="17" dxfId="2" operator="greaterThanOrEqual" stopIfTrue="1">
      <formula>46</formula>
    </cfRule>
    <cfRule type="cellIs" priority="18" dxfId="0" operator="lessThanOrEqual" stopIfTrue="1">
      <formula>23</formula>
    </cfRule>
  </conditionalFormatting>
  <conditionalFormatting sqref="B8:AB8">
    <cfRule type="cellIs" priority="19" dxfId="2" operator="greaterThanOrEqual" stopIfTrue="1">
      <formula>65</formula>
    </cfRule>
    <cfRule type="cellIs" priority="20" dxfId="0" operator="lessThanOrEqual" stopIfTrue="1">
      <formula>23</formula>
    </cfRule>
  </conditionalFormatting>
  <conditionalFormatting sqref="B9:AB9">
    <cfRule type="cellIs" priority="21" dxfId="2" operator="greaterThanOrEqual" stopIfTrue="1">
      <formula>51</formula>
    </cfRule>
    <cfRule type="cellIs" priority="22" dxfId="0" operator="lessThanOrEqual" stopIfTrue="1">
      <formula>23</formula>
    </cfRule>
  </conditionalFormatting>
  <conditionalFormatting sqref="B10:AB10">
    <cfRule type="cellIs" priority="23" dxfId="2" operator="greaterThanOrEqual" stopIfTrue="1">
      <formula>49</formula>
    </cfRule>
    <cfRule type="cellIs" priority="24" dxfId="0" operator="lessThanOrEqual" stopIfTrue="1">
      <formula>23</formula>
    </cfRule>
  </conditionalFormatting>
  <conditionalFormatting sqref="B12">
    <cfRule type="cellIs" priority="25" dxfId="3" operator="greaterThanOrEqual" stopIfTrue="1">
      <formula>317</formula>
    </cfRule>
  </conditionalFormatting>
  <conditionalFormatting sqref="E12 G12">
    <cfRule type="cellIs" priority="26" dxfId="3" operator="greaterThanOrEqual" stopIfTrue="1">
      <formula>93</formula>
    </cfRule>
  </conditionalFormatting>
  <conditionalFormatting sqref="N12 J12">
    <cfRule type="cellIs" priority="27" dxfId="3" operator="greaterThanOrEqual" stopIfTrue="1">
      <formula>62</formula>
    </cfRule>
  </conditionalFormatting>
  <conditionalFormatting sqref="I12 O12">
    <cfRule type="cellIs" priority="28" dxfId="3" operator="greaterThanOrEqual" stopIfTrue="1">
      <formula>60</formula>
    </cfRule>
  </conditionalFormatting>
  <conditionalFormatting sqref="AC8 AC4">
    <cfRule type="cellIs" priority="29" dxfId="3" operator="greaterThanOrEqual" stopIfTrue="1">
      <formula>8</formula>
    </cfRule>
  </conditionalFormatting>
  <conditionalFormatting sqref="K12 M12">
    <cfRule type="cellIs" priority="30" dxfId="3" operator="greaterThanOrEqual" stopIfTrue="1">
      <formula>41</formula>
    </cfRule>
  </conditionalFormatting>
  <conditionalFormatting sqref="S12:T12">
    <cfRule type="cellIs" priority="31" dxfId="3" operator="greaterThanOrEqual" stopIfTrue="1">
      <formula>169</formula>
    </cfRule>
  </conditionalFormatting>
  <conditionalFormatting sqref="AB12">
    <cfRule type="cellIs" priority="32" dxfId="3" operator="greaterThanOrEqual" stopIfTrue="1">
      <formula>80</formula>
    </cfRule>
  </conditionalFormatting>
  <conditionalFormatting sqref="Y12:AA12">
    <cfRule type="cellIs" priority="33" dxfId="3" operator="greaterThanOrEqual" stopIfTrue="1">
      <formula>416</formula>
    </cfRule>
  </conditionalFormatting>
  <conditionalFormatting sqref="X12">
    <cfRule type="cellIs" priority="34" dxfId="3" operator="greaterThanOrEqual" stopIfTrue="1">
      <formula>78</formula>
    </cfRule>
  </conditionalFormatting>
  <conditionalFormatting sqref="AC5:AC6 AC9 AC11">
    <cfRule type="cellIs" priority="35" dxfId="3" operator="greaterThanOrEqual" stopIfTrue="1">
      <formula>6.26</formula>
    </cfRule>
  </conditionalFormatting>
  <conditionalFormatting sqref="F12">
    <cfRule type="cellIs" priority="36" dxfId="3" operator="greaterThanOrEqual" stopIfTrue="1">
      <formula>70</formula>
    </cfRule>
  </conditionalFormatting>
  <conditionalFormatting sqref="B11:AB11 B6:AB6">
    <cfRule type="cellIs" priority="37" dxfId="2" operator="greaterThanOrEqual" stopIfTrue="1">
      <formula>50</formula>
    </cfRule>
    <cfRule type="cellIs" priority="38" dxfId="0" operator="lessThanOrEqual" stopIfTrue="1">
      <formula>23</formula>
    </cfRule>
  </conditionalFormatting>
  <conditionalFormatting sqref="P12:R12 U12">
    <cfRule type="cellIs" priority="39" dxfId="3" operator="greaterThanOrEqual" stopIfTrue="1">
      <formula>400</formula>
    </cfRule>
  </conditionalFormatting>
  <conditionalFormatting sqref="V12:W12">
    <cfRule type="cellIs" priority="40" dxfId="3" operator="greaterThanOrEqual" stopIfTrue="1">
      <formula>450</formula>
    </cfRule>
  </conditionalFormatting>
  <conditionalFormatting sqref="B7:AB7">
    <cfRule type="cellIs" priority="41" dxfId="2" operator="greaterThanOrEqual" stopIfTrue="1">
      <formula>60</formula>
    </cfRule>
    <cfRule type="cellIs" priority="42" dxfId="0" operator="lessThanOrEqual" stopIfTrue="1">
      <formula>23</formula>
    </cfRule>
  </conditionalFormatting>
  <conditionalFormatting sqref="S55:T61 R62:S62 V77 R60 U56:U57">
    <cfRule type="cellIs" priority="43" dxfId="0" operator="greaterThanOrEqual" stopIfTrue="1">
      <formula>300</formula>
    </cfRule>
  </conditionalFormatting>
  <conditionalFormatting sqref="H71 F55:F62 AO86:AR86 AO87:AQ87 AO93:AQ93 AQ88:AR92 AO88:AO92 AP89:AP91 AQ23 Y58:Y62 X60:X61 Y55:Y56 M55:M61 AA55:AA62 AR82 I55:I62 BC74:BC81 O55:O61 K55:K62 N58">
    <cfRule type="cellIs" priority="44" dxfId="0" operator="greaterThanOrEqual" stopIfTrue="1">
      <formula>100</formula>
    </cfRule>
  </conditionalFormatting>
  <conditionalFormatting sqref="AP88 AR93 AP92 AR87 AJ77 AQ13:AQ15 AQ18:AQ20 AQ22 M62 X76:X80 J55:J62 N55:N57 N59:N62">
    <cfRule type="cellIs" priority="45" dxfId="0" operator="greaterThanOrEqual" stopIfTrue="1">
      <formula>50</formula>
    </cfRule>
  </conditionalFormatting>
  <conditionalFormatting sqref="Z55:Z62 AQ21 AQ17 X55:X59 X62 E58:E62 O62 AA79 Y57 AA76 G55:G60">
    <cfRule type="cellIs" priority="46" dxfId="0" operator="greaterThanOrEqual" stopIfTrue="1">
      <formula>150</formula>
    </cfRule>
  </conditionalFormatting>
  <conditionalFormatting sqref="R55:R59 V74:V76 AY81 V78:V81 AY74:AY75 AY77 AY79 U58:U62 R61 U55">
    <cfRule type="cellIs" priority="47" dxfId="0" operator="greaterThanOrEqual" stopIfTrue="1">
      <formula>400</formula>
    </cfRule>
  </conditionalFormatting>
  <conditionalFormatting sqref="T57 T62 AA77:AA78 AA74:AA75 AA80:AA81 E55:E57 G61:G62">
    <cfRule type="cellIs" priority="48" dxfId="0" operator="greaterThanOrEqual" stopIfTrue="1">
      <formula>200</formula>
    </cfRule>
  </conditionalFormatting>
  <conditionalFormatting sqref="L55:L62 D55:D62 H55:H62 P62 B58:B62">
    <cfRule type="cellIs" priority="49" dxfId="0" operator="greaterThanOrEqual" stopIfTrue="1">
      <formula>500</formula>
    </cfRule>
  </conditionalFormatting>
  <conditionalFormatting sqref="AY78 AY80">
    <cfRule type="cellIs" priority="50" dxfId="0" operator="greaterThanOrEqual" stopIfTrue="1">
      <formula>350</formula>
    </cfRule>
  </conditionalFormatting>
  <conditionalFormatting sqref="W79 AB55 AB57:AB58 AB61">
    <cfRule type="cellIs" priority="51" dxfId="0" operator="greaterThanOrEqual" stopIfTrue="1">
      <formula>10</formula>
    </cfRule>
  </conditionalFormatting>
  <conditionalFormatting sqref="P58:P61 B55:B57 S74:S81 Q55:Q61 V61:V62">
    <cfRule type="cellIs" priority="52" dxfId="0" operator="greaterThanOrEqual" stopIfTrue="1">
      <formula>600</formula>
    </cfRule>
  </conditionalFormatting>
  <conditionalFormatting sqref="D75:D76 D78 D80">
    <cfRule type="cellIs" priority="53" dxfId="0" operator="greaterThan" stopIfTrue="1">
      <formula>49</formula>
    </cfRule>
  </conditionalFormatting>
  <conditionalFormatting sqref="F74:F81">
    <cfRule type="cellIs" priority="54" dxfId="0" operator="greaterThan" stopIfTrue="1">
      <formula>99</formula>
    </cfRule>
  </conditionalFormatting>
  <conditionalFormatting sqref="G74:G79 G81">
    <cfRule type="cellIs" priority="55" dxfId="0" operator="greaterThan" stopIfTrue="1">
      <formula>9</formula>
    </cfRule>
  </conditionalFormatting>
  <conditionalFormatting sqref="H74:H81">
    <cfRule type="cellIs" priority="56" dxfId="0" operator="greaterThan" stopIfTrue="1">
      <formula>16</formula>
    </cfRule>
  </conditionalFormatting>
  <conditionalFormatting sqref="T74:T81">
    <cfRule type="cellIs" priority="57" dxfId="0" operator="greaterThanOrEqual" stopIfTrue="1">
      <formula>50</formula>
    </cfRule>
  </conditionalFormatting>
  <conditionalFormatting sqref="X75 X81">
    <cfRule type="cellIs" priority="58" dxfId="0" operator="greaterThanOrEqual" stopIfTrue="1">
      <formula>64</formula>
    </cfRule>
  </conditionalFormatting>
  <conditionalFormatting sqref="W74 AO78">
    <cfRule type="cellIs" priority="59" dxfId="0" operator="greaterThanOrEqual" stopIfTrue="1">
      <formula>24</formula>
    </cfRule>
  </conditionalFormatting>
  <conditionalFormatting sqref="AE77:AE81 AE74">
    <cfRule type="cellIs" priority="60" dxfId="0" operator="greaterThanOrEqual" stopIfTrue="1">
      <formula>44</formula>
    </cfRule>
  </conditionalFormatting>
  <conditionalFormatting sqref="B65:B66 B70 AJ75:AJ76 W75">
    <cfRule type="cellIs" priority="61" dxfId="0" operator="greaterThanOrEqual" stopIfTrue="1">
      <formula>23</formula>
    </cfRule>
  </conditionalFormatting>
  <conditionalFormatting sqref="AL77:AL81 AL74">
    <cfRule type="cellIs" priority="62" dxfId="0" operator="greaterThanOrEqual" stopIfTrue="1">
      <formula>7</formula>
    </cfRule>
  </conditionalFormatting>
  <conditionalFormatting sqref="AM74:AM75">
    <cfRule type="cellIs" priority="63" dxfId="0" operator="greaterThanOrEqual" stopIfTrue="1">
      <formula>12</formula>
    </cfRule>
  </conditionalFormatting>
  <conditionalFormatting sqref="AO76 AM81">
    <cfRule type="cellIs" priority="64" dxfId="0" operator="greaterThanOrEqual" stopIfTrue="1">
      <formula>18</formula>
    </cfRule>
  </conditionalFormatting>
  <conditionalFormatting sqref="AB62 AN81 AN77">
    <cfRule type="cellIs" priority="65" dxfId="0" operator="greaterThanOrEqual" stopIfTrue="1">
      <formula>20</formula>
    </cfRule>
  </conditionalFormatting>
  <conditionalFormatting sqref="W80">
    <cfRule type="cellIs" priority="66" dxfId="0" operator="greaterThanOrEqual" stopIfTrue="1">
      <formula>3</formula>
    </cfRule>
  </conditionalFormatting>
  <conditionalFormatting sqref="W81 AN74:AN76 AM80 AN78:AN80 AM78 W77">
    <cfRule type="cellIs" priority="67" dxfId="0" operator="greaterThanOrEqual" stopIfTrue="1">
      <formula>16</formula>
    </cfRule>
  </conditionalFormatting>
  <conditionalFormatting sqref="X74">
    <cfRule type="cellIs" priority="68" dxfId="0" operator="greaterThanOrEqual" stopIfTrue="1">
      <formula>80</formula>
    </cfRule>
  </conditionalFormatting>
  <conditionalFormatting sqref="AR79:AR81 AR74:AR77">
    <cfRule type="cellIs" priority="69" dxfId="0" operator="greaterThanOrEqual" stopIfTrue="1">
      <formula>22</formula>
    </cfRule>
  </conditionalFormatting>
  <conditionalFormatting sqref="W78">
    <cfRule type="cellIs" priority="70" dxfId="0" operator="greaterThanOrEqual" stopIfTrue="1">
      <formula>14</formula>
    </cfRule>
  </conditionalFormatting>
  <conditionalFormatting sqref="B71 B64 AJ81 AJ78 AO81 AO74">
    <cfRule type="cellIs" priority="71" dxfId="0" operator="greaterThanOrEqual" stopIfTrue="1">
      <formula>30</formula>
    </cfRule>
  </conditionalFormatting>
  <conditionalFormatting sqref="AB56 AB59:AB60">
    <cfRule type="cellIs" priority="72" dxfId="0" operator="greaterThanOrEqual" stopIfTrue="1">
      <formula>15</formula>
    </cfRule>
  </conditionalFormatting>
  <conditionalFormatting sqref="B69">
    <cfRule type="cellIs" priority="73" dxfId="0" operator="greaterThanOrEqual" stopIfTrue="1">
      <formula>25</formula>
    </cfRule>
  </conditionalFormatting>
  <conditionalFormatting sqref="AE75:AE76">
    <cfRule type="cellIs" priority="74" dxfId="0" operator="greaterThanOrEqual" stopIfTrue="1">
      <formula>69</formula>
    </cfRule>
  </conditionalFormatting>
  <conditionalFormatting sqref="AJ74 AJ79:AJ80">
    <cfRule type="cellIs" priority="75" dxfId="0" operator="greaterThanOrEqual" stopIfTrue="1">
      <formula>40</formula>
    </cfRule>
  </conditionalFormatting>
  <conditionalFormatting sqref="D74 D77 D79 D81">
    <cfRule type="cellIs" priority="76" dxfId="0" operator="greaterThan" stopIfTrue="1">
      <formula>100</formula>
    </cfRule>
  </conditionalFormatting>
  <conditionalFormatting sqref="Q62 V56 V58:V60 P55:P57">
    <cfRule type="cellIs" priority="77" dxfId="0" operator="greaterThanOrEqual" stopIfTrue="1">
      <formula>700</formula>
    </cfRule>
  </conditionalFormatting>
  <conditionalFormatting sqref="AO79">
    <cfRule type="cellIs" priority="78" dxfId="0" operator="greaterThanOrEqual" stopIfTrue="1">
      <formula>32</formula>
    </cfRule>
  </conditionalFormatting>
  <conditionalFormatting sqref="AE62">
    <cfRule type="cellIs" priority="79" dxfId="0" operator="greaterThanOrEqual" stopIfTrue="1">
      <formula>26000</formula>
    </cfRule>
  </conditionalFormatting>
  <conditionalFormatting sqref="W76">
    <cfRule type="cellIs" priority="80" dxfId="0" operator="greaterThanOrEqual" stopIfTrue="1">
      <formula>4</formula>
    </cfRule>
  </conditionalFormatting>
  <conditionalFormatting sqref="AM79 AM76:AM77">
    <cfRule type="cellIs" priority="81" dxfId="0" operator="greaterThanOrEqual" stopIfTrue="1">
      <formula>17</formula>
    </cfRule>
  </conditionalFormatting>
  <conditionalFormatting sqref="AL75:AL76">
    <cfRule type="cellIs" priority="82" dxfId="0" operator="greaterThanOrEqual" stopIfTrue="1">
      <formula>9</formula>
    </cfRule>
  </conditionalFormatting>
  <conditionalFormatting sqref="AR78">
    <cfRule type="cellIs" priority="83" dxfId="0" operator="greaterThanOrEqual" stopIfTrue="1">
      <formula>28</formula>
    </cfRule>
  </conditionalFormatting>
  <conditionalFormatting sqref="AO80 AO75">
    <cfRule type="cellIs" priority="84" dxfId="0" operator="greaterThanOrEqual" stopIfTrue="1">
      <formula>35</formula>
    </cfRule>
  </conditionalFormatting>
  <conditionalFormatting sqref="AO77">
    <cfRule type="cellIs" priority="85" dxfId="0" operator="greaterThanOrEqual" stopIfTrue="1">
      <formula>34</formula>
    </cfRule>
  </conditionalFormatting>
  <conditionalFormatting sqref="G80">
    <cfRule type="cellIs" priority="86" dxfId="0" operator="greaterThan" stopIfTrue="1">
      <formula>10</formula>
    </cfRule>
  </conditionalFormatting>
  <conditionalFormatting sqref="AY76">
    <cfRule type="cellIs" priority="87" dxfId="0" operator="greaterThanOrEqual" stopIfTrue="1">
      <formula>450</formula>
    </cfRule>
  </conditionalFormatting>
  <conditionalFormatting sqref="V57 V55">
    <cfRule type="cellIs" priority="88" dxfId="0" operator="greaterThanOrEqual" stopIfTrue="1">
      <formula>800</formula>
    </cfRule>
  </conditionalFormatting>
  <conditionalFormatting sqref="AE55:AE61">
    <cfRule type="cellIs" priority="89" dxfId="0" operator="greaterThanOrEqual" stopIfTrue="1">
      <formula>27000</formula>
    </cfRule>
  </conditionalFormatting>
  <printOptions/>
  <pageMargins left="0.54" right="0.5" top="0.7875" bottom="0.39375" header="0.13" footer="0.45"/>
  <pageSetup horizontalDpi="300" verticalDpi="300" orientation="landscape" paperSize="9" scale="89" r:id="rId1"/>
  <rowBreaks count="2" manualBreakCount="2">
    <brk id="30" min="48" max="66" man="1"/>
    <brk id="71" min="48" max="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stefano</cp:lastModifiedBy>
  <cp:lastPrinted>2005-05-06T23:09:38Z</cp:lastPrinted>
  <dcterms:created xsi:type="dcterms:W3CDTF">2001-05-21T07:21:26Z</dcterms:created>
  <dcterms:modified xsi:type="dcterms:W3CDTF">2005-05-10T11:15:23Z</dcterms:modified>
  <cp:category/>
  <cp:version/>
  <cp:contentType/>
  <cp:contentStatus/>
</cp:coreProperties>
</file>